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52511" concurrentCalc="0"/>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1" l="1"/>
  <c r="M13" i="1"/>
  <c r="M12" i="1"/>
  <c r="M11" i="1"/>
  <c r="M10" i="1"/>
  <c r="J9" i="1"/>
  <c r="K9" i="1"/>
  <c r="S11" i="1"/>
  <c r="S12" i="1"/>
  <c r="S13" i="1"/>
  <c r="S10" i="1"/>
  <c r="S9" i="1"/>
  <c r="V128" i="1"/>
  <c r="S128" i="1"/>
  <c r="V127" i="1"/>
  <c r="S127" i="1"/>
  <c r="V126" i="1"/>
  <c r="S126" i="1"/>
  <c r="V125" i="1"/>
  <c r="S125" i="1"/>
  <c r="V124" i="1"/>
  <c r="S124" i="1"/>
  <c r="V123" i="1"/>
  <c r="S123" i="1"/>
  <c r="J123" i="1"/>
  <c r="V122" i="1"/>
  <c r="S122" i="1"/>
  <c r="V121" i="1"/>
  <c r="S121" i="1"/>
  <c r="V120" i="1"/>
  <c r="S120" i="1"/>
  <c r="V119" i="1"/>
  <c r="S119" i="1"/>
  <c r="V118" i="1"/>
  <c r="S118" i="1"/>
  <c r="V117" i="1"/>
  <c r="S117" i="1"/>
  <c r="J117" i="1"/>
  <c r="V116" i="1"/>
  <c r="S116" i="1"/>
  <c r="V115" i="1"/>
  <c r="S115" i="1"/>
  <c r="V114" i="1"/>
  <c r="S114" i="1"/>
  <c r="V113" i="1"/>
  <c r="S113" i="1"/>
  <c r="V112" i="1"/>
  <c r="S112" i="1"/>
  <c r="V111" i="1"/>
  <c r="S111" i="1"/>
  <c r="AD111" i="1"/>
  <c r="AC111" i="1"/>
  <c r="J111" i="1"/>
  <c r="K111" i="1"/>
  <c r="V110" i="1"/>
  <c r="S110" i="1"/>
  <c r="V109" i="1"/>
  <c r="S109" i="1"/>
  <c r="V108" i="1"/>
  <c r="S108" i="1"/>
  <c r="V107" i="1"/>
  <c r="S107" i="1"/>
  <c r="V106" i="1"/>
  <c r="S106" i="1"/>
  <c r="V105" i="1"/>
  <c r="S105" i="1"/>
  <c r="J105" i="1"/>
  <c r="V104" i="1"/>
  <c r="S104" i="1"/>
  <c r="V103" i="1"/>
  <c r="S103" i="1"/>
  <c r="V102" i="1"/>
  <c r="S102" i="1"/>
  <c r="V101" i="1"/>
  <c r="S101" i="1"/>
  <c r="V100" i="1"/>
  <c r="S100" i="1"/>
  <c r="V99" i="1"/>
  <c r="S99" i="1"/>
  <c r="AD99" i="1"/>
  <c r="AC99" i="1"/>
  <c r="J99" i="1"/>
  <c r="K99" i="1"/>
  <c r="V98" i="1"/>
  <c r="S98" i="1"/>
  <c r="V97" i="1"/>
  <c r="S97" i="1"/>
  <c r="V96" i="1"/>
  <c r="S96" i="1"/>
  <c r="V95" i="1"/>
  <c r="S95" i="1"/>
  <c r="V94" i="1"/>
  <c r="S94" i="1"/>
  <c r="V93" i="1"/>
  <c r="S93" i="1"/>
  <c r="J93" i="1"/>
  <c r="V92" i="1"/>
  <c r="S92" i="1"/>
  <c r="V91" i="1"/>
  <c r="S91" i="1"/>
  <c r="V90" i="1"/>
  <c r="S90" i="1"/>
  <c r="V89" i="1"/>
  <c r="S89" i="1"/>
  <c r="V88" i="1"/>
  <c r="S88" i="1"/>
  <c r="V87" i="1"/>
  <c r="S87" i="1"/>
  <c r="AD87" i="1"/>
  <c r="AC87" i="1"/>
  <c r="J87" i="1"/>
  <c r="K87" i="1"/>
  <c r="V86" i="1"/>
  <c r="S86" i="1"/>
  <c r="V85" i="1"/>
  <c r="S85" i="1"/>
  <c r="V84" i="1"/>
  <c r="S84" i="1"/>
  <c r="V83" i="1"/>
  <c r="S83" i="1"/>
  <c r="V82" i="1"/>
  <c r="S82" i="1"/>
  <c r="V81" i="1"/>
  <c r="S81" i="1"/>
  <c r="J81" i="1"/>
  <c r="V80" i="1"/>
  <c r="S80" i="1"/>
  <c r="V79" i="1"/>
  <c r="S79" i="1"/>
  <c r="V78" i="1"/>
  <c r="S78" i="1"/>
  <c r="V77" i="1"/>
  <c r="S77" i="1"/>
  <c r="V76" i="1"/>
  <c r="S76" i="1"/>
  <c r="V75" i="1"/>
  <c r="S75" i="1"/>
  <c r="AD75" i="1"/>
  <c r="AC75" i="1"/>
  <c r="J75" i="1"/>
  <c r="K75" i="1"/>
  <c r="V74" i="1"/>
  <c r="S74" i="1"/>
  <c r="V73" i="1"/>
  <c r="S73" i="1"/>
  <c r="V72" i="1"/>
  <c r="S72" i="1"/>
  <c r="V71" i="1"/>
  <c r="S71" i="1"/>
  <c r="V70" i="1"/>
  <c r="S70" i="1"/>
  <c r="V69" i="1"/>
  <c r="S69" i="1"/>
  <c r="Z69" i="1"/>
  <c r="AB69" i="1"/>
  <c r="J69" i="1"/>
  <c r="M86" i="1"/>
  <c r="M106" i="1"/>
  <c r="M114" i="1"/>
  <c r="M85" i="1"/>
  <c r="M84" i="1"/>
  <c r="M103" i="1"/>
  <c r="M72" i="1"/>
  <c r="M79" i="1"/>
  <c r="M121" i="1"/>
  <c r="M116" i="1"/>
  <c r="M113" i="1"/>
  <c r="M88" i="1"/>
  <c r="M128" i="1"/>
  <c r="M76" i="1"/>
  <c r="M118" i="1"/>
  <c r="M91" i="1"/>
  <c r="M94" i="1"/>
  <c r="M82" i="1"/>
  <c r="M124" i="1"/>
  <c r="M109" i="1"/>
  <c r="M74" i="1"/>
  <c r="M73" i="1"/>
  <c r="M77" i="1"/>
  <c r="M122" i="1"/>
  <c r="M90" i="1"/>
  <c r="M71" i="1"/>
  <c r="M96" i="1"/>
  <c r="M101" i="1"/>
  <c r="M100" i="1"/>
  <c r="M102" i="1"/>
  <c r="M120" i="1"/>
  <c r="M78" i="1"/>
  <c r="M119" i="1"/>
  <c r="M127" i="1"/>
  <c r="M126" i="1"/>
  <c r="M104" i="1"/>
  <c r="M97" i="1"/>
  <c r="M112" i="1"/>
  <c r="M98" i="1"/>
  <c r="M80" i="1"/>
  <c r="M95" i="1"/>
  <c r="M70" i="1"/>
  <c r="M125" i="1"/>
  <c r="M115" i="1"/>
  <c r="M108" i="1"/>
  <c r="M107" i="1"/>
  <c r="M92" i="1"/>
  <c r="M110" i="1"/>
  <c r="M83" i="1"/>
  <c r="M89" i="1"/>
  <c r="Z119" i="1"/>
  <c r="Z109" i="1"/>
  <c r="AD73" i="1"/>
  <c r="AC73" i="1"/>
  <c r="Z83" i="1"/>
  <c r="Z95" i="1"/>
  <c r="AA95" i="1"/>
  <c r="AD120" i="1"/>
  <c r="AC120" i="1"/>
  <c r="AD92" i="1"/>
  <c r="AC92" i="1"/>
  <c r="AD126" i="1"/>
  <c r="AC126" i="1"/>
  <c r="Z80" i="1"/>
  <c r="AB80" i="1"/>
  <c r="AD109" i="1"/>
  <c r="AC109" i="1"/>
  <c r="AD116" i="1"/>
  <c r="AC116" i="1"/>
  <c r="AD113" i="1"/>
  <c r="AC113" i="1"/>
  <c r="AD124" i="1"/>
  <c r="AC124" i="1"/>
  <c r="AD102" i="1"/>
  <c r="AC102" i="1"/>
  <c r="AD82" i="1"/>
  <c r="AC82" i="1"/>
  <c r="AD89" i="1"/>
  <c r="AC89" i="1"/>
  <c r="AD106" i="1"/>
  <c r="AC106" i="1"/>
  <c r="Z111" i="1"/>
  <c r="AB111" i="1"/>
  <c r="Z102" i="1"/>
  <c r="AB102" i="1"/>
  <c r="AD119" i="1"/>
  <c r="AC119" i="1"/>
  <c r="AD69" i="1"/>
  <c r="AC69" i="1"/>
  <c r="Z73" i="1"/>
  <c r="AB73" i="1"/>
  <c r="AD77" i="1"/>
  <c r="AC77" i="1"/>
  <c r="Z92" i="1"/>
  <c r="AB92" i="1"/>
  <c r="AD95" i="1"/>
  <c r="AC95" i="1"/>
  <c r="AD80" i="1"/>
  <c r="AC80" i="1"/>
  <c r="AD74" i="1"/>
  <c r="AC74" i="1"/>
  <c r="AD79" i="1"/>
  <c r="AC79" i="1"/>
  <c r="AD103" i="1"/>
  <c r="AC103" i="1"/>
  <c r="Z126" i="1"/>
  <c r="AB126" i="1"/>
  <c r="Z123" i="1"/>
  <c r="AB123" i="1"/>
  <c r="Z112" i="1"/>
  <c r="AB112" i="1"/>
  <c r="AD72" i="1"/>
  <c r="AC72" i="1"/>
  <c r="Z76" i="1"/>
  <c r="AB76" i="1"/>
  <c r="Z88" i="1"/>
  <c r="Z105" i="1"/>
  <c r="AB105" i="1"/>
  <c r="AD112" i="1"/>
  <c r="AC112" i="1"/>
  <c r="AD76" i="1"/>
  <c r="AC76" i="1"/>
  <c r="AD88" i="1"/>
  <c r="AC88" i="1"/>
  <c r="AD96" i="1"/>
  <c r="AC96" i="1"/>
  <c r="AD105" i="1"/>
  <c r="AC105" i="1"/>
  <c r="AD110" i="1"/>
  <c r="AC110" i="1"/>
  <c r="AD114" i="1"/>
  <c r="AC114" i="1"/>
  <c r="Z116" i="1"/>
  <c r="AB116" i="1"/>
  <c r="AD70" i="1"/>
  <c r="AC70" i="1"/>
  <c r="AD127" i="1"/>
  <c r="AC127" i="1"/>
  <c r="AA83" i="1"/>
  <c r="AB83" i="1"/>
  <c r="AD86" i="1"/>
  <c r="AC86" i="1"/>
  <c r="Z86" i="1"/>
  <c r="AD98" i="1"/>
  <c r="AC98" i="1"/>
  <c r="Z98" i="1"/>
  <c r="AD97" i="1"/>
  <c r="AC97" i="1"/>
  <c r="Z97" i="1"/>
  <c r="AD122" i="1"/>
  <c r="AC122" i="1"/>
  <c r="Z122" i="1"/>
  <c r="K69" i="1"/>
  <c r="AA69" i="1"/>
  <c r="Z70" i="1"/>
  <c r="Z74" i="1"/>
  <c r="Z77" i="1"/>
  <c r="AD84" i="1"/>
  <c r="AC84" i="1"/>
  <c r="Z84" i="1"/>
  <c r="AD83" i="1"/>
  <c r="AC83" i="1"/>
  <c r="AD94" i="1"/>
  <c r="AC94" i="1"/>
  <c r="Z94" i="1"/>
  <c r="AD93" i="1"/>
  <c r="AC93" i="1"/>
  <c r="Z93" i="1"/>
  <c r="AD104" i="1"/>
  <c r="AC104" i="1"/>
  <c r="Z104" i="1"/>
  <c r="AD108" i="1"/>
  <c r="AC108" i="1"/>
  <c r="Z108" i="1"/>
  <c r="AD107" i="1"/>
  <c r="AC107" i="1"/>
  <c r="Z107" i="1"/>
  <c r="AD118" i="1"/>
  <c r="AC118" i="1"/>
  <c r="Z118" i="1"/>
  <c r="AD117" i="1"/>
  <c r="AC117" i="1"/>
  <c r="Z117" i="1"/>
  <c r="AD121" i="1"/>
  <c r="AC121" i="1"/>
  <c r="AD85" i="1"/>
  <c r="AC85" i="1"/>
  <c r="K105" i="1"/>
  <c r="Z78" i="1"/>
  <c r="AD78" i="1"/>
  <c r="AC78" i="1"/>
  <c r="Z81" i="1"/>
  <c r="AD81" i="1"/>
  <c r="AC81" i="1"/>
  <c r="Z85" i="1"/>
  <c r="AB88" i="1"/>
  <c r="AA88" i="1"/>
  <c r="AD101" i="1"/>
  <c r="AC101" i="1"/>
  <c r="Z101" i="1"/>
  <c r="AD100" i="1"/>
  <c r="AC100" i="1"/>
  <c r="Z100" i="1"/>
  <c r="AD125" i="1"/>
  <c r="AC125" i="1"/>
  <c r="Z125" i="1"/>
  <c r="AD128" i="1"/>
  <c r="AC128" i="1"/>
  <c r="Z71" i="1"/>
  <c r="AD71" i="1"/>
  <c r="AC71" i="1"/>
  <c r="Z72" i="1"/>
  <c r="Z75" i="1"/>
  <c r="Z79" i="1"/>
  <c r="K81" i="1"/>
  <c r="Z82" i="1"/>
  <c r="AD91" i="1"/>
  <c r="AC91" i="1"/>
  <c r="Z91" i="1"/>
  <c r="AD90" i="1"/>
  <c r="AC90" i="1"/>
  <c r="Z90" i="1"/>
  <c r="AB109" i="1"/>
  <c r="AA109" i="1"/>
  <c r="AD115" i="1"/>
  <c r="AC115" i="1"/>
  <c r="Z115" i="1"/>
  <c r="Z114" i="1"/>
  <c r="AB119" i="1"/>
  <c r="AA119" i="1"/>
  <c r="AE119" i="1"/>
  <c r="Z89" i="1"/>
  <c r="Z96" i="1"/>
  <c r="Z99" i="1"/>
  <c r="Z103" i="1"/>
  <c r="Z106" i="1"/>
  <c r="Z110" i="1"/>
  <c r="Z113" i="1"/>
  <c r="Z120" i="1"/>
  <c r="AD123" i="1"/>
  <c r="AC123" i="1"/>
  <c r="Z127" i="1"/>
  <c r="Z121" i="1"/>
  <c r="K123" i="1"/>
  <c r="Z124" i="1"/>
  <c r="Z128" i="1"/>
  <c r="Z87" i="1"/>
  <c r="K93" i="1"/>
  <c r="K117" i="1"/>
  <c r="AA111" i="1"/>
  <c r="AE111" i="1"/>
  <c r="AA92" i="1"/>
  <c r="AA123" i="1"/>
  <c r="AB95" i="1"/>
  <c r="AA80" i="1"/>
  <c r="AE80" i="1"/>
  <c r="AE95" i="1"/>
  <c r="AA102" i="1"/>
  <c r="AE102" i="1"/>
  <c r="AE92" i="1"/>
  <c r="AA76" i="1"/>
  <c r="AE76" i="1"/>
  <c r="AE109" i="1"/>
  <c r="AE123" i="1"/>
  <c r="AA105" i="1"/>
  <c r="AE105" i="1"/>
  <c r="AE69" i="1"/>
  <c r="AA116" i="1"/>
  <c r="AE116" i="1"/>
  <c r="AA73" i="1"/>
  <c r="AE73" i="1"/>
  <c r="AA126" i="1"/>
  <c r="AE126" i="1"/>
  <c r="AA112" i="1"/>
  <c r="AE112" i="1"/>
  <c r="AE88" i="1"/>
  <c r="AA117" i="1"/>
  <c r="AE117" i="1"/>
  <c r="AB117" i="1"/>
  <c r="AB108" i="1"/>
  <c r="AA108" i="1"/>
  <c r="AE108" i="1"/>
  <c r="AB122" i="1"/>
  <c r="AA122" i="1"/>
  <c r="AE122" i="1"/>
  <c r="AB106" i="1"/>
  <c r="AA106" i="1"/>
  <c r="AE106" i="1"/>
  <c r="AB89" i="1"/>
  <c r="AA89" i="1"/>
  <c r="AE89" i="1"/>
  <c r="AA114" i="1"/>
  <c r="AE114" i="1"/>
  <c r="AB114" i="1"/>
  <c r="AA90" i="1"/>
  <c r="AE90" i="1"/>
  <c r="AB90" i="1"/>
  <c r="AA82" i="1"/>
  <c r="AE82" i="1"/>
  <c r="AB82" i="1"/>
  <c r="AA72" i="1"/>
  <c r="AE72" i="1"/>
  <c r="AB72" i="1"/>
  <c r="AB125" i="1"/>
  <c r="AA125" i="1"/>
  <c r="AE125" i="1"/>
  <c r="AA100" i="1"/>
  <c r="AE100" i="1"/>
  <c r="AB100" i="1"/>
  <c r="AA81" i="1"/>
  <c r="AE81" i="1"/>
  <c r="AB81" i="1"/>
  <c r="AA124" i="1"/>
  <c r="AE124" i="1"/>
  <c r="AB124" i="1"/>
  <c r="AB127" i="1"/>
  <c r="AA127" i="1"/>
  <c r="AE127" i="1"/>
  <c r="AB110" i="1"/>
  <c r="AA110" i="1"/>
  <c r="AE110" i="1"/>
  <c r="AB96" i="1"/>
  <c r="AA96" i="1"/>
  <c r="AE96" i="1"/>
  <c r="AA93" i="1"/>
  <c r="AE93" i="1"/>
  <c r="AB93" i="1"/>
  <c r="AB98" i="1"/>
  <c r="AA98" i="1"/>
  <c r="AE98" i="1"/>
  <c r="AB87" i="1"/>
  <c r="AA87" i="1"/>
  <c r="AE87" i="1"/>
  <c r="AB120" i="1"/>
  <c r="AA120" i="1"/>
  <c r="AE120" i="1"/>
  <c r="AB103" i="1"/>
  <c r="AA103" i="1"/>
  <c r="AE103" i="1"/>
  <c r="AB115" i="1"/>
  <c r="AA115" i="1"/>
  <c r="AE115" i="1"/>
  <c r="AB118" i="1"/>
  <c r="AA118" i="1"/>
  <c r="AE118" i="1"/>
  <c r="AA107" i="1"/>
  <c r="AE107" i="1"/>
  <c r="AB107" i="1"/>
  <c r="AA104" i="1"/>
  <c r="AE104" i="1"/>
  <c r="AB104" i="1"/>
  <c r="AB94" i="1"/>
  <c r="AA94" i="1"/>
  <c r="AE94" i="1"/>
  <c r="AB77" i="1"/>
  <c r="AA77" i="1"/>
  <c r="AE77" i="1"/>
  <c r="AB70" i="1"/>
  <c r="AA70" i="1"/>
  <c r="AE70" i="1"/>
  <c r="AA97" i="1"/>
  <c r="AE97" i="1"/>
  <c r="AB97" i="1"/>
  <c r="AB86" i="1"/>
  <c r="AA86" i="1"/>
  <c r="AE86" i="1"/>
  <c r="AB75" i="1"/>
  <c r="AA75" i="1"/>
  <c r="AE75" i="1"/>
  <c r="AB74" i="1"/>
  <c r="AA74" i="1"/>
  <c r="AE74" i="1"/>
  <c r="AA128" i="1"/>
  <c r="AE128" i="1"/>
  <c r="AB128" i="1"/>
  <c r="AA121" i="1"/>
  <c r="AE121" i="1"/>
  <c r="AB121" i="1"/>
  <c r="AB113" i="1"/>
  <c r="AA113" i="1"/>
  <c r="AE113" i="1"/>
  <c r="AB99" i="1"/>
  <c r="AA99" i="1"/>
  <c r="AE99" i="1"/>
  <c r="AB91" i="1"/>
  <c r="AA91" i="1"/>
  <c r="AE91" i="1"/>
  <c r="AA79" i="1"/>
  <c r="AE79" i="1"/>
  <c r="AB79" i="1"/>
  <c r="AA71" i="1"/>
  <c r="AE71" i="1"/>
  <c r="AB71" i="1"/>
  <c r="AB101" i="1"/>
  <c r="AA101" i="1"/>
  <c r="AE101" i="1"/>
  <c r="AA85" i="1"/>
  <c r="AE85" i="1"/>
  <c r="AB85" i="1"/>
  <c r="AA78" i="1"/>
  <c r="AE78" i="1"/>
  <c r="AB78" i="1"/>
  <c r="AB84" i="1"/>
  <c r="AA84" i="1"/>
  <c r="AE84" i="1"/>
  <c r="AE83" i="1"/>
  <c r="V9" i="1"/>
  <c r="M35" i="1"/>
  <c r="M36" i="1"/>
  <c r="M68" i="1"/>
  <c r="M65" i="1"/>
  <c r="M46" i="1"/>
  <c r="M50" i="1"/>
  <c r="M66" i="1"/>
  <c r="M53" i="1"/>
  <c r="M34" i="1"/>
  <c r="M40" i="1"/>
  <c r="M61" i="1"/>
  <c r="M42" i="1"/>
  <c r="M52" i="1"/>
  <c r="M17" i="1"/>
  <c r="M26" i="1"/>
  <c r="M24" i="1"/>
  <c r="M60" i="1"/>
  <c r="M19" i="1"/>
  <c r="M49" i="1"/>
  <c r="M32" i="1"/>
  <c r="M62" i="1"/>
  <c r="M22" i="1"/>
  <c r="M58" i="1"/>
  <c r="M20" i="1"/>
  <c r="M38" i="1"/>
  <c r="M48" i="1"/>
  <c r="M67" i="1"/>
  <c r="M29" i="1"/>
  <c r="M47" i="1"/>
  <c r="M64" i="1"/>
  <c r="M54" i="1"/>
  <c r="M41" i="1"/>
  <c r="M37" i="1"/>
  <c r="M25" i="1"/>
  <c r="M16" i="1"/>
  <c r="M56" i="1"/>
  <c r="M44" i="1"/>
  <c r="M43" i="1"/>
  <c r="M18" i="1"/>
  <c r="M30" i="1"/>
  <c r="M23" i="1"/>
  <c r="M59" i="1"/>
  <c r="M28" i="1"/>
  <c r="M55" i="1"/>
  <c r="M31" i="1"/>
  <c r="Z9" i="1"/>
  <c r="AB9" i="1"/>
  <c r="Z10" i="1"/>
  <c r="F221" i="13"/>
  <c r="F211" i="13"/>
  <c r="F212" i="13"/>
  <c r="F213" i="13"/>
  <c r="F214" i="13"/>
  <c r="F215" i="13"/>
  <c r="F216" i="13"/>
  <c r="F217" i="13"/>
  <c r="F218" i="13"/>
  <c r="F219" i="13"/>
  <c r="F220" i="13"/>
  <c r="F210" i="13"/>
  <c r="B221" i="13" a="1"/>
  <c r="B221" i="13"/>
  <c r="S51" i="1"/>
  <c r="S46" i="1"/>
  <c r="S4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8" i="1"/>
  <c r="S68" i="1"/>
  <c r="V67" i="1"/>
  <c r="S67" i="1"/>
  <c r="V66" i="1"/>
  <c r="S66" i="1"/>
  <c r="V65" i="1"/>
  <c r="S65" i="1"/>
  <c r="V64" i="1"/>
  <c r="S64" i="1"/>
  <c r="V63" i="1"/>
  <c r="S63" i="1"/>
  <c r="J63" i="1"/>
  <c r="K63" i="1"/>
  <c r="V62" i="1"/>
  <c r="S62" i="1"/>
  <c r="V61" i="1"/>
  <c r="S61" i="1"/>
  <c r="V60" i="1"/>
  <c r="S60" i="1"/>
  <c r="V59" i="1"/>
  <c r="S59" i="1"/>
  <c r="V58" i="1"/>
  <c r="S58" i="1"/>
  <c r="V57" i="1"/>
  <c r="S57" i="1"/>
  <c r="J57" i="1"/>
  <c r="K57" i="1"/>
  <c r="V56" i="1"/>
  <c r="S56" i="1"/>
  <c r="V55" i="1"/>
  <c r="S55" i="1"/>
  <c r="V54" i="1"/>
  <c r="S54" i="1"/>
  <c r="V53" i="1"/>
  <c r="S53" i="1"/>
  <c r="V52" i="1"/>
  <c r="S52" i="1"/>
  <c r="V51" i="1"/>
  <c r="J51" i="1"/>
  <c r="K51" i="1"/>
  <c r="V50" i="1"/>
  <c r="S50" i="1"/>
  <c r="V49" i="1"/>
  <c r="S49" i="1"/>
  <c r="V48" i="1"/>
  <c r="S48" i="1"/>
  <c r="V47" i="1"/>
  <c r="S47" i="1"/>
  <c r="V46" i="1"/>
  <c r="V45" i="1"/>
  <c r="S45" i="1"/>
  <c r="J45" i="1"/>
  <c r="K45" i="1"/>
  <c r="V44" i="1"/>
  <c r="S44" i="1"/>
  <c r="V43" i="1"/>
  <c r="S43" i="1"/>
  <c r="V42" i="1"/>
  <c r="S42" i="1"/>
  <c r="V41" i="1"/>
  <c r="S41" i="1"/>
  <c r="V40" i="1"/>
  <c r="V39" i="1"/>
  <c r="S39" i="1"/>
  <c r="J39" i="1"/>
  <c r="K39" i="1"/>
  <c r="V38" i="1"/>
  <c r="S38" i="1"/>
  <c r="V37" i="1"/>
  <c r="S37" i="1"/>
  <c r="V36" i="1"/>
  <c r="S36" i="1"/>
  <c r="V35" i="1"/>
  <c r="S35" i="1"/>
  <c r="V34" i="1"/>
  <c r="S34" i="1"/>
  <c r="V33" i="1"/>
  <c r="S33" i="1"/>
  <c r="J33" i="1"/>
  <c r="K33" i="1"/>
  <c r="V32" i="1"/>
  <c r="S32" i="1"/>
  <c r="V31" i="1"/>
  <c r="S31" i="1"/>
  <c r="V30" i="1"/>
  <c r="S30" i="1"/>
  <c r="V29" i="1"/>
  <c r="S29" i="1"/>
  <c r="V28" i="1"/>
  <c r="S28" i="1"/>
  <c r="V27" i="1"/>
  <c r="S27" i="1"/>
  <c r="J27" i="1"/>
  <c r="K27" i="1"/>
  <c r="V26" i="1"/>
  <c r="S26" i="1"/>
  <c r="V25" i="1"/>
  <c r="S25" i="1"/>
  <c r="V24" i="1"/>
  <c r="S24" i="1"/>
  <c r="V23" i="1"/>
  <c r="S23" i="1"/>
  <c r="V22" i="1"/>
  <c r="S22" i="1"/>
  <c r="V21" i="1"/>
  <c r="S21" i="1"/>
  <c r="J21" i="1"/>
  <c r="K21" i="1"/>
  <c r="J15" i="1"/>
  <c r="S14" i="1"/>
  <c r="V20" i="1"/>
  <c r="S20" i="1"/>
  <c r="V19" i="1"/>
  <c r="S19" i="1"/>
  <c r="V18" i="1"/>
  <c r="S18" i="1"/>
  <c r="V17" i="1"/>
  <c r="S17" i="1"/>
  <c r="V16" i="1"/>
  <c r="S16" i="1"/>
  <c r="V15" i="1"/>
  <c r="S15" i="1"/>
  <c r="AD49" i="1"/>
  <c r="AC49" i="1"/>
  <c r="AD50" i="1"/>
  <c r="AC50" i="1"/>
  <c r="K15" i="1"/>
  <c r="Z15" i="1"/>
  <c r="Z63" i="1"/>
  <c r="Z57" i="1"/>
  <c r="Z51" i="1"/>
  <c r="Z45" i="1"/>
  <c r="Z49" i="1"/>
  <c r="Z50" i="1"/>
  <c r="Z39" i="1"/>
  <c r="Z33" i="1"/>
  <c r="Z27" i="1"/>
  <c r="Z21" i="1"/>
  <c r="AA63" i="1"/>
  <c r="AB63" i="1"/>
  <c r="Z64" i="1"/>
  <c r="AA64" i="1"/>
  <c r="AA57" i="1"/>
  <c r="AB57" i="1"/>
  <c r="Z58" i="1"/>
  <c r="AB58" i="1"/>
  <c r="Z59" i="1"/>
  <c r="AA51" i="1"/>
  <c r="AB51" i="1"/>
  <c r="Z52" i="1"/>
  <c r="AB52" i="1"/>
  <c r="Z53" i="1"/>
  <c r="AA50" i="1"/>
  <c r="AB50" i="1"/>
  <c r="AA49" i="1"/>
  <c r="AB49" i="1"/>
  <c r="AA45" i="1"/>
  <c r="AB45" i="1"/>
  <c r="AA39" i="1"/>
  <c r="AB39" i="1"/>
  <c r="Z40" i="1"/>
  <c r="AB40" i="1"/>
  <c r="Z41" i="1"/>
  <c r="AA33" i="1"/>
  <c r="AB33" i="1"/>
  <c r="AA27" i="1"/>
  <c r="AB27" i="1"/>
  <c r="Z28" i="1"/>
  <c r="AB28" i="1"/>
  <c r="Z29" i="1"/>
  <c r="AA29" i="1"/>
  <c r="AA21" i="1"/>
  <c r="AB21" i="1"/>
  <c r="Z22" i="1"/>
  <c r="AA22" i="1"/>
  <c r="AA15" i="1"/>
  <c r="AB15" i="1"/>
  <c r="Z16" i="1"/>
  <c r="AA58" i="1"/>
  <c r="AA52" i="1"/>
  <c r="AB22" i="1"/>
  <c r="Z23" i="1"/>
  <c r="AA23" i="1"/>
  <c r="AA40" i="1"/>
  <c r="AA28" i="1"/>
  <c r="AA41" i="1"/>
  <c r="AB41" i="1"/>
  <c r="AB59" i="1"/>
  <c r="Z60" i="1"/>
  <c r="AA59" i="1"/>
  <c r="AB53" i="1"/>
  <c r="Z54" i="1"/>
  <c r="AA53" i="1"/>
  <c r="AB64" i="1"/>
  <c r="Z65" i="1"/>
  <c r="Z34" i="1"/>
  <c r="Z46" i="1"/>
  <c r="Z47"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9" i="1"/>
  <c r="AE50" i="1"/>
  <c r="V11" i="1"/>
  <c r="V12" i="1"/>
  <c r="V13" i="1"/>
  <c r="V14" i="1"/>
  <c r="AA60" i="1"/>
  <c r="AB60" i="1"/>
  <c r="AA54" i="1"/>
  <c r="AB54" i="1"/>
  <c r="Z55" i="1"/>
  <c r="AB23" i="1"/>
  <c r="Z24" i="1"/>
  <c r="AB24" i="1"/>
  <c r="AA47" i="1"/>
  <c r="AB47" i="1"/>
  <c r="Z48" i="1"/>
  <c r="AA65" i="1"/>
  <c r="AB65" i="1"/>
  <c r="Z66" i="1"/>
  <c r="AA46" i="1"/>
  <c r="AB46" i="1"/>
  <c r="Z42" i="1"/>
  <c r="AA34" i="1"/>
  <c r="AB34" i="1"/>
  <c r="Z35" i="1"/>
  <c r="AA35" i="1"/>
  <c r="Z31" i="1"/>
  <c r="AA31" i="1"/>
  <c r="Z30" i="1"/>
  <c r="AA16" i="1"/>
  <c r="AB16" i="1"/>
  <c r="Z17" i="1"/>
  <c r="AA17" i="1"/>
  <c r="AB35" i="1"/>
  <c r="Z36" i="1"/>
  <c r="AB36" i="1"/>
  <c r="Z37" i="1"/>
  <c r="AA55" i="1"/>
  <c r="AB55" i="1"/>
  <c r="Z56" i="1"/>
  <c r="Z61" i="1"/>
  <c r="Z62" i="1"/>
  <c r="AA24" i="1"/>
  <c r="AA42" i="1"/>
  <c r="AB42" i="1"/>
  <c r="Z43" i="1"/>
  <c r="AA43" i="1"/>
  <c r="AA48" i="1"/>
  <c r="AB48" i="1"/>
  <c r="Z25" i="1"/>
  <c r="AB66" i="1"/>
  <c r="AA66" i="1"/>
  <c r="AA30" i="1"/>
  <c r="AB30" i="1"/>
  <c r="AB31" i="1"/>
  <c r="Z32" i="1"/>
  <c r="AB17" i="1"/>
  <c r="Z18" i="1"/>
  <c r="AA18" i="1"/>
  <c r="AA36" i="1"/>
  <c r="AA62" i="1"/>
  <c r="AB62" i="1"/>
  <c r="AA61" i="1"/>
  <c r="AB61" i="1"/>
  <c r="AA56" i="1"/>
  <c r="AB56" i="1"/>
  <c r="Z67" i="1"/>
  <c r="Z68" i="1"/>
  <c r="AB43" i="1"/>
  <c r="Z44" i="1"/>
  <c r="AA44" i="1"/>
  <c r="AB37" i="1"/>
  <c r="Z38" i="1"/>
  <c r="AA37" i="1"/>
  <c r="AA25" i="1"/>
  <c r="AB25" i="1"/>
  <c r="Z26" i="1"/>
  <c r="AA26" i="1"/>
  <c r="AA32" i="1"/>
  <c r="AB32" i="1"/>
  <c r="AB18" i="1"/>
  <c r="Z19" i="1"/>
  <c r="AB19" i="1"/>
  <c r="Z20" i="1"/>
  <c r="AA9" i="1"/>
  <c r="AA68" i="1"/>
  <c r="AB68" i="1"/>
  <c r="AA67" i="1"/>
  <c r="AB67" i="1"/>
  <c r="AA38" i="1"/>
  <c r="AB38" i="1"/>
  <c r="AB44" i="1"/>
  <c r="AB26" i="1"/>
  <c r="AA19" i="1"/>
  <c r="AA20" i="1"/>
  <c r="AB20" i="1"/>
  <c r="AA10" i="1"/>
  <c r="AB10" i="1"/>
  <c r="Z11" i="1"/>
  <c r="AA11" i="1"/>
  <c r="AB11" i="1"/>
  <c r="Z12" i="1"/>
  <c r="AB12" i="1"/>
  <c r="Z13" i="1"/>
  <c r="AA13" i="1"/>
  <c r="AB13" i="1"/>
  <c r="Z14" i="1"/>
  <c r="AA12" i="1"/>
  <c r="AA14" i="1"/>
  <c r="AB14" i="1"/>
  <c r="M9" i="1"/>
  <c r="N9" i="1"/>
  <c r="O9" i="1"/>
  <c r="M123" i="1"/>
  <c r="N123" i="1"/>
  <c r="M87" i="1"/>
  <c r="N87" i="1"/>
  <c r="M93" i="1"/>
  <c r="N93" i="1"/>
  <c r="M99" i="1"/>
  <c r="N99" i="1"/>
  <c r="M69" i="1"/>
  <c r="N69" i="1"/>
  <c r="M81" i="1"/>
  <c r="N81" i="1"/>
  <c r="M111" i="1"/>
  <c r="N111" i="1"/>
  <c r="M105" i="1"/>
  <c r="N105" i="1"/>
  <c r="M75" i="1"/>
  <c r="N75" i="1"/>
  <c r="M117" i="1"/>
  <c r="N117" i="1"/>
  <c r="M39" i="1"/>
  <c r="N39" i="1"/>
  <c r="M27" i="1"/>
  <c r="N27" i="1"/>
  <c r="M21" i="1"/>
  <c r="N21" i="1"/>
  <c r="M51" i="1"/>
  <c r="N51" i="1"/>
  <c r="M45" i="1"/>
  <c r="N45" i="1"/>
  <c r="M33" i="1"/>
  <c r="N33" i="1"/>
  <c r="M63" i="1"/>
  <c r="N63" i="1"/>
  <c r="M57" i="1"/>
  <c r="N57" i="1"/>
  <c r="M15" i="1"/>
  <c r="N15" i="1"/>
  <c r="O105" i="1"/>
  <c r="P105" i="1"/>
  <c r="O111" i="1"/>
  <c r="P111" i="1"/>
  <c r="O93" i="1"/>
  <c r="P93" i="1"/>
  <c r="O117" i="1"/>
  <c r="P117" i="1"/>
  <c r="O81" i="1"/>
  <c r="P81" i="1"/>
  <c r="O87" i="1"/>
  <c r="P87" i="1"/>
  <c r="P99" i="1"/>
  <c r="O99" i="1"/>
  <c r="O75" i="1"/>
  <c r="P75" i="1"/>
  <c r="O69" i="1"/>
  <c r="P69" i="1"/>
  <c r="O123" i="1"/>
  <c r="P123" i="1"/>
  <c r="Z42" i="18"/>
  <c r="N42" i="18"/>
  <c r="AF26" i="18"/>
  <c r="N26" i="18"/>
  <c r="AF18" i="18"/>
  <c r="T10" i="18"/>
  <c r="N34" i="18"/>
  <c r="T34" i="18"/>
  <c r="T18" i="18"/>
  <c r="Z18" i="18"/>
  <c r="Z10" i="18"/>
  <c r="AL18" i="18"/>
  <c r="Z26" i="18"/>
  <c r="P57" i="1"/>
  <c r="O57"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1" i="1"/>
  <c r="AJ42" i="18"/>
  <c r="AJ18" i="18"/>
  <c r="AD26" i="18"/>
  <c r="L10" i="18"/>
  <c r="AD10" i="18"/>
  <c r="X18" i="18"/>
  <c r="AD42" i="18"/>
  <c r="L18" i="18"/>
  <c r="R10" i="18"/>
  <c r="P51" i="1"/>
  <c r="O63" i="1"/>
  <c r="AD63" i="1"/>
  <c r="AB36" i="18"/>
  <c r="AH12" i="18"/>
  <c r="P28" i="18"/>
  <c r="AH20" i="18"/>
  <c r="P36" i="18"/>
  <c r="V12" i="18"/>
  <c r="AH28" i="18"/>
  <c r="AB20" i="18"/>
  <c r="J12" i="18"/>
  <c r="J20" i="18"/>
  <c r="P63"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O33" i="1"/>
  <c r="X32" i="18"/>
  <c r="AD32" i="18"/>
  <c r="AJ8" i="18"/>
  <c r="L16" i="18"/>
  <c r="R32" i="18"/>
  <c r="AJ32" i="18"/>
  <c r="P33"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45" i="1"/>
  <c r="AH34" i="18"/>
  <c r="AH42" i="18"/>
  <c r="AH18" i="18"/>
  <c r="AB10" i="18"/>
  <c r="J26" i="18"/>
  <c r="V18" i="18"/>
  <c r="V42" i="18"/>
  <c r="J42" i="18"/>
  <c r="P10" i="18"/>
  <c r="AB26" i="18"/>
  <c r="J34" i="18"/>
  <c r="J18" i="18"/>
  <c r="AH10" i="18"/>
  <c r="AB34" i="18"/>
  <c r="P26" i="18"/>
  <c r="P34" i="18"/>
  <c r="V34" i="18"/>
  <c r="AH26" i="18"/>
  <c r="J10" i="18"/>
  <c r="P45" i="1"/>
  <c r="P18" i="18"/>
  <c r="AB42" i="18"/>
  <c r="V10" i="18"/>
  <c r="AB18" i="18"/>
  <c r="P42" i="18"/>
  <c r="V26" i="18"/>
  <c r="Z32" i="18"/>
  <c r="N24" i="18"/>
  <c r="AL32" i="18"/>
  <c r="AL40" i="18"/>
  <c r="N8" i="18"/>
  <c r="AF24" i="18"/>
  <c r="Z40" i="18"/>
  <c r="Z16" i="18"/>
  <c r="N32" i="18"/>
  <c r="T32" i="18"/>
  <c r="N40" i="18"/>
  <c r="T8" i="18"/>
  <c r="O39" i="1"/>
  <c r="AF32" i="18"/>
  <c r="AL8" i="18"/>
  <c r="T24" i="18"/>
  <c r="N16" i="18"/>
  <c r="T16" i="18"/>
  <c r="Z24" i="18"/>
  <c r="AF16" i="18"/>
  <c r="P39" i="1"/>
  <c r="T40" i="18"/>
  <c r="AF8" i="18"/>
  <c r="AL24" i="18"/>
  <c r="Z8" i="18"/>
  <c r="AF40" i="18"/>
  <c r="AL16" i="18"/>
  <c r="AD28" i="1"/>
  <c r="AD27" i="1"/>
  <c r="AC27" i="1"/>
  <c r="AC63" i="1"/>
  <c r="AD65" i="1"/>
  <c r="AD58" i="1"/>
  <c r="AD57" i="1"/>
  <c r="AD40" i="1"/>
  <c r="AD39" i="1"/>
  <c r="AC39" i="1"/>
  <c r="AD52" i="1"/>
  <c r="AD51" i="1"/>
  <c r="AC51" i="1"/>
  <c r="AC9" i="1"/>
  <c r="AD10" i="1"/>
  <c r="AD16" i="1"/>
  <c r="AD15" i="1"/>
  <c r="AC15" i="1"/>
  <c r="AD22" i="1"/>
  <c r="AD21" i="1"/>
  <c r="AC21" i="1"/>
  <c r="AD46" i="1"/>
  <c r="AD45" i="1"/>
  <c r="AC45" i="1"/>
  <c r="AD34" i="1"/>
  <c r="AD33" i="1"/>
  <c r="AC33" i="1"/>
  <c r="J40" i="19"/>
  <c r="V30" i="19"/>
  <c r="AH20" i="19"/>
  <c r="J30" i="19"/>
  <c r="V20" i="19"/>
  <c r="AH10" i="19"/>
  <c r="P10" i="19"/>
  <c r="AB50" i="19"/>
  <c r="J50" i="19"/>
  <c r="AB40" i="19"/>
  <c r="P30" i="19"/>
  <c r="V50" i="19"/>
  <c r="P50" i="19"/>
  <c r="AB10" i="19"/>
  <c r="AH30" i="19"/>
  <c r="AH40" i="19"/>
  <c r="J10" i="19"/>
  <c r="AB20" i="19"/>
  <c r="AH50" i="19"/>
  <c r="AE33" i="1"/>
  <c r="V10" i="19"/>
  <c r="P20" i="19"/>
  <c r="J20" i="19"/>
  <c r="P40" i="19"/>
  <c r="V40" i="19"/>
  <c r="AB30" i="19"/>
  <c r="J11" i="19"/>
  <c r="V11" i="19"/>
  <c r="AB21" i="19"/>
  <c r="P31" i="19"/>
  <c r="J31" i="19"/>
  <c r="AB41" i="19"/>
  <c r="AE39" i="1"/>
  <c r="AH41" i="19"/>
  <c r="P41" i="19"/>
  <c r="J21" i="19"/>
  <c r="AB31" i="19"/>
  <c r="AB51" i="19"/>
  <c r="P21" i="19"/>
  <c r="V41" i="19"/>
  <c r="V31" i="19"/>
  <c r="AH21" i="19"/>
  <c r="AB11" i="19"/>
  <c r="P51" i="19"/>
  <c r="V21" i="19"/>
  <c r="AH31" i="19"/>
  <c r="V51" i="19"/>
  <c r="J51" i="19"/>
  <c r="AH51" i="19"/>
  <c r="AH11" i="19"/>
  <c r="J41" i="19"/>
  <c r="P11" i="19"/>
  <c r="AC22" i="1"/>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3"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7" i="1"/>
  <c r="AD64" i="1"/>
  <c r="AC64"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D11" i="1"/>
  <c r="AC10" i="1"/>
  <c r="AC65" i="1"/>
  <c r="AD66" i="1"/>
  <c r="AD35" i="1"/>
  <c r="AC34" i="1"/>
  <c r="AC40" i="1"/>
  <c r="AD41" i="1"/>
  <c r="AC41" i="1"/>
  <c r="AD42" i="1"/>
  <c r="V32" i="19"/>
  <c r="P42" i="19"/>
  <c r="J12" i="19"/>
  <c r="J32" i="19"/>
  <c r="AB52" i="19"/>
  <c r="AE45" i="1"/>
  <c r="J22" i="19"/>
  <c r="V22" i="19"/>
  <c r="J52" i="19"/>
  <c r="AH12" i="19"/>
  <c r="J42" i="19"/>
  <c r="AH42" i="19"/>
  <c r="P32" i="19"/>
  <c r="AB12" i="19"/>
  <c r="AH32" i="19"/>
  <c r="AB32" i="19"/>
  <c r="AB42" i="19"/>
  <c r="V42" i="19"/>
  <c r="V12" i="19"/>
  <c r="V52" i="19"/>
  <c r="AB22" i="19"/>
  <c r="AH52" i="19"/>
  <c r="AH22" i="19"/>
  <c r="P22" i="19"/>
  <c r="P12" i="19"/>
  <c r="P52" i="19"/>
  <c r="AD47" i="1"/>
  <c r="AC47" i="1"/>
  <c r="AD48" i="1"/>
  <c r="AC48" i="1"/>
  <c r="AC46" i="1"/>
  <c r="AD17" i="1"/>
  <c r="AC16" i="1"/>
  <c r="AC52" i="1"/>
  <c r="AD53" i="1"/>
  <c r="AC58" i="1"/>
  <c r="AD59" i="1"/>
  <c r="AC28" i="1"/>
  <c r="AD29" i="1"/>
  <c r="W37" i="19"/>
  <c r="AI7" i="19"/>
  <c r="W17" i="19"/>
  <c r="W27" i="19"/>
  <c r="Q47" i="19"/>
  <c r="W7" i="19"/>
  <c r="AI17" i="19"/>
  <c r="K47" i="19"/>
  <c r="AI47" i="19"/>
  <c r="Q27" i="19"/>
  <c r="AC27" i="19"/>
  <c r="AC47" i="19"/>
  <c r="AC37" i="19"/>
  <c r="AI37" i="19"/>
  <c r="AE16" i="1"/>
  <c r="AC17" i="19"/>
  <c r="K37" i="19"/>
  <c r="AC7" i="19"/>
  <c r="W47" i="19"/>
  <c r="Q37" i="19"/>
  <c r="AI27" i="19"/>
  <c r="Q7" i="19"/>
  <c r="K27" i="19"/>
  <c r="K17" i="19"/>
  <c r="K7" i="19"/>
  <c r="Q17" i="19"/>
  <c r="AC66" i="1"/>
  <c r="AD67" i="1"/>
  <c r="K35" i="19"/>
  <c r="AC25" i="19"/>
  <c r="K45" i="19"/>
  <c r="AI45" i="19"/>
  <c r="W45" i="19"/>
  <c r="Q35" i="19"/>
  <c r="K55" i="19"/>
  <c r="AC15" i="19"/>
  <c r="Q15" i="19"/>
  <c r="AC35" i="19"/>
  <c r="AI35" i="19"/>
  <c r="Q55" i="19"/>
  <c r="AI25" i="19"/>
  <c r="AE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0" i="1"/>
  <c r="AD55" i="19"/>
  <c r="R15" i="19"/>
  <c r="AJ35" i="19"/>
  <c r="AE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7" i="1"/>
  <c r="AD12" i="19"/>
  <c r="AD32" i="19"/>
  <c r="AD22" i="19"/>
  <c r="X52" i="19"/>
  <c r="AD52" i="19"/>
  <c r="L42" i="19"/>
  <c r="R42" i="19"/>
  <c r="AJ21" i="19"/>
  <c r="AD31" i="19"/>
  <c r="R21" i="19"/>
  <c r="AD41" i="19"/>
  <c r="AJ11" i="19"/>
  <c r="AJ51" i="19"/>
  <c r="AE41" i="1"/>
  <c r="L41" i="19"/>
  <c r="AD11" i="19"/>
  <c r="L21" i="19"/>
  <c r="L11" i="19"/>
  <c r="X51" i="19"/>
  <c r="X21" i="19"/>
  <c r="R11" i="19"/>
  <c r="R31" i="19"/>
  <c r="AJ41" i="19"/>
  <c r="L31" i="19"/>
  <c r="R51" i="19"/>
  <c r="X31" i="19"/>
  <c r="X11" i="19"/>
  <c r="X41" i="19"/>
  <c r="AJ31" i="19"/>
  <c r="AD51" i="19"/>
  <c r="R41" i="19"/>
  <c r="AD21" i="19"/>
  <c r="L51" i="19"/>
  <c r="AD18" i="1"/>
  <c r="AC17" i="1"/>
  <c r="AC29" i="1"/>
  <c r="AD30" i="1"/>
  <c r="AC53" i="1"/>
  <c r="AD54" i="1"/>
  <c r="K42" i="19"/>
  <c r="AC32" i="19"/>
  <c r="W42" i="19"/>
  <c r="AI52" i="19"/>
  <c r="K22" i="19"/>
  <c r="Q32" i="19"/>
  <c r="AI12" i="19"/>
  <c r="AC52" i="19"/>
  <c r="Q42" i="19"/>
  <c r="AC42" i="19"/>
  <c r="K12" i="19"/>
  <c r="Q22" i="19"/>
  <c r="W52" i="19"/>
  <c r="AI42" i="19"/>
  <c r="W32" i="19"/>
  <c r="AI22" i="19"/>
  <c r="W12" i="19"/>
  <c r="AI32" i="19"/>
  <c r="AC12" i="19"/>
  <c r="Q12" i="19"/>
  <c r="Q52" i="19"/>
  <c r="AE46" i="1"/>
  <c r="K32" i="19"/>
  <c r="W22" i="19"/>
  <c r="K52" i="19"/>
  <c r="AC22" i="19"/>
  <c r="AC40" i="19"/>
  <c r="W10" i="19"/>
  <c r="AC50" i="19"/>
  <c r="Q10" i="19"/>
  <c r="Q30" i="19"/>
  <c r="W50" i="19"/>
  <c r="K40" i="19"/>
  <c r="Q50" i="19"/>
  <c r="W20" i="19"/>
  <c r="AE34"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59" i="1"/>
  <c r="AD60"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2" i="1"/>
  <c r="Q33" i="19"/>
  <c r="AI23" i="19"/>
  <c r="K53" i="19"/>
  <c r="AC23" i="19"/>
  <c r="AC13" i="19"/>
  <c r="W23" i="19"/>
  <c r="W33" i="19"/>
  <c r="Q13" i="19"/>
  <c r="W13" i="19"/>
  <c r="AI13" i="19"/>
  <c r="Q43" i="19"/>
  <c r="Q23" i="19"/>
  <c r="W53" i="19"/>
  <c r="M12" i="19"/>
  <c r="AK42" i="19"/>
  <c r="AE32" i="19"/>
  <c r="AE48" i="1"/>
  <c r="M52" i="19"/>
  <c r="S12" i="19"/>
  <c r="M32" i="19"/>
  <c r="S52" i="19"/>
  <c r="Y52" i="19"/>
  <c r="Y42" i="19"/>
  <c r="AK12" i="19"/>
  <c r="S22" i="19"/>
  <c r="AE12" i="19"/>
  <c r="Y22" i="19"/>
  <c r="S32" i="19"/>
  <c r="AK52" i="19"/>
  <c r="M22" i="19"/>
  <c r="AK32" i="19"/>
  <c r="AE22" i="19"/>
  <c r="AE42" i="19"/>
  <c r="Y32" i="19"/>
  <c r="M42" i="19"/>
  <c r="Y12" i="19"/>
  <c r="AE52" i="19"/>
  <c r="AK22" i="19"/>
  <c r="S42" i="19"/>
  <c r="AC42" i="1"/>
  <c r="AD44" i="1"/>
  <c r="AC44" i="1"/>
  <c r="AD43" i="1"/>
  <c r="AC43" i="1"/>
  <c r="AC35" i="1"/>
  <c r="AD36" i="1"/>
  <c r="AD12" i="1"/>
  <c r="AC12" i="1"/>
  <c r="AC11"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2" i="1"/>
  <c r="AC13" i="1"/>
  <c r="AD14" i="1"/>
  <c r="AC14" i="1"/>
  <c r="R40" i="19"/>
  <c r="AD10" i="19"/>
  <c r="X40" i="19"/>
  <c r="AJ10" i="19"/>
  <c r="R50" i="19"/>
  <c r="X10" i="19"/>
  <c r="R30" i="19"/>
  <c r="AE35" i="1"/>
  <c r="L10" i="19"/>
  <c r="L50" i="19"/>
  <c r="AJ20" i="19"/>
  <c r="AJ40" i="19"/>
  <c r="AD30" i="19"/>
  <c r="R20" i="19"/>
  <c r="AD50" i="19"/>
  <c r="AJ30" i="19"/>
  <c r="AJ50" i="19"/>
  <c r="X30" i="19"/>
  <c r="AD20" i="19"/>
  <c r="L40" i="19"/>
  <c r="X50" i="19"/>
  <c r="X20" i="19"/>
  <c r="AD40" i="19"/>
  <c r="R10" i="19"/>
  <c r="L30" i="19"/>
  <c r="L20" i="19"/>
  <c r="AC54" i="1"/>
  <c r="AD55" i="1"/>
  <c r="AC67" i="1"/>
  <c r="AD68" i="1"/>
  <c r="AC68"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3"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E12" i="1"/>
  <c r="O11" i="19"/>
  <c r="O21" i="19"/>
  <c r="O51" i="19"/>
  <c r="AA31" i="19"/>
  <c r="AM31" i="19"/>
  <c r="AG51" i="19"/>
  <c r="AA41" i="19"/>
  <c r="AM11" i="19"/>
  <c r="U21" i="19"/>
  <c r="AG41" i="19"/>
  <c r="AM21" i="19"/>
  <c r="AM51" i="19"/>
  <c r="O41" i="19"/>
  <c r="U11" i="19"/>
  <c r="AG31" i="19"/>
  <c r="U41" i="19"/>
  <c r="AE44" i="1"/>
  <c r="AG11" i="19"/>
  <c r="AM41" i="19"/>
  <c r="AA21" i="19"/>
  <c r="AA51" i="19"/>
  <c r="U51" i="19"/>
  <c r="U31" i="19"/>
  <c r="AA11" i="19"/>
  <c r="AG21" i="19"/>
  <c r="O31" i="19"/>
  <c r="AC60" i="1"/>
  <c r="AD61" i="1"/>
  <c r="AC30" i="1"/>
  <c r="AD31" i="1"/>
  <c r="AC31" i="1"/>
  <c r="AD32" i="1"/>
  <c r="AC32" i="1"/>
  <c r="AJ46" i="19"/>
  <c r="AD46" i="19"/>
  <c r="L36" i="19"/>
  <c r="X16" i="19"/>
  <c r="AJ26" i="19"/>
  <c r="L46" i="19"/>
  <c r="X6" i="19"/>
  <c r="R36" i="19"/>
  <c r="X36" i="19"/>
  <c r="R6" i="19"/>
  <c r="AJ6" i="19"/>
  <c r="AD36" i="19"/>
  <c r="R46" i="19"/>
  <c r="AD26" i="19"/>
  <c r="L16" i="19"/>
  <c r="AD16" i="19"/>
  <c r="AE11" i="1"/>
  <c r="X46" i="19"/>
  <c r="X26" i="19"/>
  <c r="AJ36" i="19"/>
  <c r="R26" i="19"/>
  <c r="AD6" i="19"/>
  <c r="L6" i="19"/>
  <c r="L26" i="19"/>
  <c r="R16" i="19"/>
  <c r="AJ16" i="19"/>
  <c r="AC36" i="1"/>
  <c r="AD37" i="1"/>
  <c r="AE11" i="19"/>
  <c r="Y41" i="19"/>
  <c r="M41" i="19"/>
  <c r="Y21" i="19"/>
  <c r="AK41" i="19"/>
  <c r="S31" i="19"/>
  <c r="M31" i="19"/>
  <c r="M51" i="19"/>
  <c r="Y51" i="19"/>
  <c r="AK21" i="19"/>
  <c r="AK31" i="19"/>
  <c r="Y11" i="19"/>
  <c r="AE41" i="19"/>
  <c r="AE21" i="19"/>
  <c r="S51" i="19"/>
  <c r="AE51" i="19"/>
  <c r="AK51" i="19"/>
  <c r="M21" i="19"/>
  <c r="AE31" i="19"/>
  <c r="AE42" i="1"/>
  <c r="S41" i="19"/>
  <c r="AK11" i="19"/>
  <c r="S11" i="19"/>
  <c r="Y31" i="19"/>
  <c r="S21" i="19"/>
  <c r="M11" i="19"/>
  <c r="L54" i="19"/>
  <c r="AJ14" i="19"/>
  <c r="AD44" i="19"/>
  <c r="X54" i="19"/>
  <c r="R14" i="19"/>
  <c r="AD24" i="19"/>
  <c r="AD34" i="19"/>
  <c r="R54" i="19"/>
  <c r="L34" i="19"/>
  <c r="AJ34" i="19"/>
  <c r="X24" i="19"/>
  <c r="AJ24" i="19"/>
  <c r="X44" i="19"/>
  <c r="R24" i="19"/>
  <c r="AE59"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37" i="1"/>
  <c r="AD38" i="1"/>
  <c r="AC38"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0"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68" i="1"/>
  <c r="AG15" i="19"/>
  <c r="U15" i="19"/>
  <c r="AG55" i="19"/>
  <c r="U55" i="19"/>
  <c r="AE40" i="19"/>
  <c r="Y30" i="19"/>
  <c r="M20" i="19"/>
  <c r="AE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55" i="1"/>
  <c r="AD56" i="1"/>
  <c r="AC56"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1" i="1"/>
  <c r="AD62" i="1"/>
  <c r="AC62"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4" i="1"/>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2" i="1"/>
  <c r="AA14" i="19"/>
  <c r="O54" i="19"/>
  <c r="U44" i="19"/>
  <c r="U43" i="19"/>
  <c r="U13" i="19"/>
  <c r="AM53" i="19"/>
  <c r="AA53" i="19"/>
  <c r="AA43" i="19"/>
  <c r="O53" i="19"/>
  <c r="O23" i="19"/>
  <c r="O13" i="19"/>
  <c r="AG43" i="19"/>
  <c r="U33" i="19"/>
  <c r="U23" i="19"/>
  <c r="AM13" i="19"/>
  <c r="AM23" i="19"/>
  <c r="AG13" i="19"/>
  <c r="AA23" i="19"/>
  <c r="AG33" i="19"/>
  <c r="AA33" i="19"/>
  <c r="AM33" i="19"/>
  <c r="AA13" i="19"/>
  <c r="AE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1" i="1"/>
  <c r="AF53" i="19"/>
  <c r="T43" i="19"/>
  <c r="Z53" i="19"/>
  <c r="N43" i="19"/>
  <c r="T23" i="19"/>
  <c r="AF43" i="19"/>
  <c r="Z13" i="19"/>
  <c r="Z43" i="19"/>
  <c r="AF23" i="19"/>
  <c r="AL13" i="19"/>
  <c r="Z23" i="19"/>
  <c r="AL43" i="19"/>
  <c r="AF13" i="19"/>
  <c r="AL23" i="19"/>
  <c r="N13" i="19"/>
  <c r="T33" i="19"/>
  <c r="AL53" i="19"/>
  <c r="N23" i="19"/>
  <c r="N53" i="19"/>
  <c r="AF33" i="19"/>
  <c r="N33" i="19"/>
  <c r="AE55"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<sst xmlns="http://schemas.openxmlformats.org/spreadsheetml/2006/main" count="360" uniqueCount="230">
  <si>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</si>
  <si>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</si>
  <si>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</si>
  <si>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</si>
  <si>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</si>
  <si>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</si>
  <si>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</si>
  <si>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</si>
  <si>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</si>
  <si>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</si>
  <si>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</si>
  <si>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</si>
  <si>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</si>
  <si>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</si>
  <si>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</si>
  <si>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</si>
  <si>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</si>
  <si>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</si>
  <si>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</si>
  <si>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</si>
  <si>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</si>
  <si>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</si>
  <si>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</si>
  <si>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</si>
  <si>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</si>
  <si>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</si>
  <si>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</si>
  <si>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</si>
  <si>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</si>
  <si>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</si>
  <si>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</si>
  <si>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</si>
  <si>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</si>
  <si>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</si>
  <si>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</si>
  <si>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</si>
  <si>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</si>
  <si>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</si>
  <si>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</si>
  <si>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</si>
  <si>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</si>
  <si>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</si>
  <si>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</si>
  <si>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</si>
  <si>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</si>
  <si>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</si>
  <si>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</si>
  <si>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</si>
  <si>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</si>
  <si>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</si>
  <si>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</si>
  <si>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</si>
  <si>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</si>
  <si>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</si>
  <si>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</si>
  <si>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</si>
  <si>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</si>
  <si>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</si>
  <si>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</si>
  <si>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</si>
  <si>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</si>
  <si>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</si>
  <si>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</si>
  <si>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</si>
  <si>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</si>
  <si>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</si>
  <si>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</si>
  <si>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</si>
  <si>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</si>
  <si>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</si>
  <si>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</si>
  <si>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</si>
  <si>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</si>
  <si>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</si>
  <si>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</si>
  <si>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</si>
  <si>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</si>
  <si>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</si>
  <si>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</si>
  <si>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</si>
  <si>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</si>
  <si>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</si>
  <si>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</si>
  <si>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</si>
  <si>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</si>
  <si>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</si>
  <si>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</si>
  <si>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</si>
  <si>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</si>
  <si>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</si>
  <si>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</si>
  <si>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</si>
  <si>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</si>
  <si>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</si>
  <si>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</si>
  <si>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</si>
  <si>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</si>
  <si>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</si>
  <si>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</si>
  <si>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</si>
  <si>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</si>
  <si>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</si>
  <si>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</si>
  <si>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</si>
  <si>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</si>
  <si>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</si>
  <si>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</si>
  <si>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</si>
  <si>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</si>
  <si>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</si>
  <si>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</si>
  <si>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</si>
  <si>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</si>
  <si>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</si>
  <si>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</si>
  <si>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</si>
  <si>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</si>
  <si>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</si>
  <si>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</si>
  <si>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</si>
  <si>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</si>
  <si>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</si>
  <si>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</si>
  <si>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</si>
  <si>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</si>
  <si>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</si>
  <si>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</si>
  <si>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</si>
  <si>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</si>
  <si>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</si>
  <si>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</si>
  <si>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</si>
  <si>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</si>
  <si>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</si>
  <si>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</si>
  <si>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</si>
  <si>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</si>
  <si>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</si>
  <si>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</si>
  <si>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</si>
  <si>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</si>
  <si>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</si>
  <si>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</si>
  <si>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</si>
  <si>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</si>
  <si>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</si>
  <si>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</si>
  <si>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</si>
  <si>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</si>
  <si>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</si>
  <si>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</si>
  <si>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</si>
  <si>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</si>
  <si>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</si>
  <si>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</si>
  <si>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</si>
  <si>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</si>
  <si>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</si>
  <si>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</si>
  <si>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</si>
  <si>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</si>
  <si>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</si>
  <si>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</si>
  <si>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</si>
  <si>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</si>
  <si>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</si>
  <si>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</si>
  <si>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</si>
  <si>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</si>
  <si>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</si>
  <si>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</si>
  <si>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</si>
  <si>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</si>
  <si>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</si>
  <si>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</si>
  <si>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</si>
  <si>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</si>
  <si>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</si>
  <si>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</si>
  <si>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</si>
  <si>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</si>
  <si>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</si>
  <si>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</si>
  <si>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</si>
  <si>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</si>
  <si>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</si>
  <si>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</si>
  <si>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</si>
  <si>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</si>
  <si>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</si>
  <si>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</si>
  <si>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</si>
  <si>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</si>
  <si>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</si>
  <si>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</si>
  <si>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</si>
  <si>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</si>
  <si>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</si>
  <si>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</si>
  <si>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</si>
  <si>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</si>
  <si>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</si>
  <si>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</si>
  <si>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</si>
  <si>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</si>
  <si>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</si>
  <si>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</si>
  <si>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</si>
  <si>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</si>
  <si>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</si>
  <si>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</si>
  <si>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 xml:space="preserve">Positivo (Oportunidad) </t>
  </si>
  <si>
    <t>Fortalecimiento del Sistema Integrado de Gestión de la Calidad y el Modelo Integrado de Planeación y Gestión.</t>
  </si>
  <si>
    <t>30/1272021</t>
  </si>
  <si>
    <r>
      <t>Objetivo:</t>
    </r>
    <r>
      <rPr>
        <sz val="10"/>
        <rFont val="Arial Narrow"/>
        <family val="2"/>
      </rPr>
      <t xml:space="preserve"> Diseñar y ejecutar las estrategias y proyectos relacionadas con la Arquitectura Empresarial TI, administración de software, sistema de redes,  seguridad de la información, soporte técnico, mantenimiento preventivo y correctivo de equipos  y backups de la información ajustados a las nuevas tecnologías de Información y la comunicación para contribuir con el cumplimiento de la misión, visión y el objeto misional del Instituto.</t>
    </r>
  </si>
  <si>
    <r>
      <t>Alcance:</t>
    </r>
    <r>
      <rPr>
        <sz val="10"/>
        <rFont val="Arial Narrow"/>
        <family val="2"/>
      </rPr>
      <t xml:space="preserve"> Inicia con el analisis, identificación y definición de la Arquitectura Empresarial y el Sistema de redes de la Entidad, ajustados a las nuevas tecnologías de la información y las comunicaciones, implementando las estrategias y proyectos, definiendo los riesgos  y haciendo seguimiento, evaluación y control del proceso de las TICs</t>
    </r>
  </si>
  <si>
    <t>Proceso: Gestion de TICS</t>
  </si>
  <si>
    <t>Tecnológicos</t>
  </si>
  <si>
    <t>Financieros: Bajo presupuesto de funcionamiento que impide el desarrollo de proyectos, TICS demoras en apropiación y ejecución de recursos
Personal: Desconocimiento de herramientas TICs
Procesos: incoherencia entre procesos establecidos y ejecutados, Desconocimiento de los procesos y procedimientos por parte de los servidores, desactualización de documentos, falta interacción
Tecnología:  falta de optimización de sistemas de gestión, falta de coordinación de necesidades de tecnología, obsolecencia de los equipos de computo, 
Políticos: Cambio de
 gobierno , Falta de continuidad en los programas establecidos, perdida del conocimiento 
EXTERNO
Tecnológicos: Falta de interoperabilidad con otros sistemas, Fallas en la infraestructura tecnológica, Fallas en la conectividad por parte del operador, fallas electricas
Medio Ambientales: humedad, clima, lluvias, electricos(UPS, polo a tierra)
Legal: Cambios legales y normativos aplicables a la Entidad y a los procesos, software ilegales.</t>
  </si>
  <si>
    <t xml:space="preserve">Posibilidad de perdida de la información por no realizar las copias de seguridad de la información oportunamente, y no contar con las herramientas adecuadas </t>
  </si>
  <si>
    <t xml:space="preserve">Realizacion inoportuna de las copias de seguridad
No contar con un cronograma de realización de copias de seguridad
Deficientes herramientas tecnologicas para almacenamiento de la información
deficiente recursos presupuestales para la gestion de Tics (adquisicion de equipos, mantenimiento correctivos, optimizacion y actualizacion tecnologica)
</t>
  </si>
  <si>
    <t xml:space="preserve">Seguridad de la información </t>
  </si>
  <si>
    <t>Copias de seguridad</t>
  </si>
  <si>
    <t>programa de mantenimiento correctivo y preventivo</t>
  </si>
  <si>
    <t>Implementacion de cronograma de copias de seguridad por dependencias</t>
  </si>
  <si>
    <t>Contratistas Gestion de TICS</t>
  </si>
  <si>
    <t>Realización de programa de mantenimientos y aplicativo de soporte tecnico a traves del sitio web</t>
  </si>
  <si>
    <t xml:space="preserve">Debido a la realización de atención de necesidades de servicios tecnológicos fuera de los tiempos requeridos. </t>
  </si>
  <si>
    <t xml:space="preserve">Se realizo capacitación de ciberseguridad a los funcionarios del instituto, medidas preventivas de navegación, aparte de eso
En cada uno de los equipos esta instalado un antivirus licenciado, la cual protege la información y la navegación por red del usuario
</t>
  </si>
  <si>
    <t>Los mantenimientos se han realizado con forma a lo estipulado en el plan de mantenimiento, (informe reposa en fichas Técnicas) Las licencias de antivirus son renovada anualmente, actualmente contamos con licenciamiento hasta el marzo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</si>
</sst>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9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4" fillId="0" borderId="61" xfId="0" applyFont="1" applyFill="1" applyBorder="1" applyAlignment="1" applyProtection="1">
      <alignment horizontal="center" vertical="center" wrapText="1"/>
      <protection hidden="1"/>
    </xf>
    <xf numFmtId="9" fontId="1" fillId="0" borderId="61" xfId="0" applyNumberFormat="1" applyFont="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9" fontId="1" fillId="0" borderId="61" xfId="0" applyNumberFormat="1"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4" fillId="14" borderId="61" xfId="0" applyFont="1" applyFill="1" applyBorder="1" applyAlignment="1">
      <alignment horizontal="center" vertical="center"/>
    </xf>
    <xf numFmtId="0" fontId="1" fillId="0" borderId="62"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textRotation="90" wrapText="1"/>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2" xfId="0" applyFont="1" applyBorder="1" applyAlignment="1" applyProtection="1">
      <alignment horizontal="left" vertical="center" wrapText="1"/>
    </xf>
    <xf numFmtId="0" fontId="1" fillId="0" borderId="64" xfId="0" applyFont="1" applyBorder="1" applyAlignment="1" applyProtection="1">
      <alignment horizontal="left" vertical="center" wrapText="1"/>
    </xf>
    <xf numFmtId="0" fontId="1" fillId="0" borderId="63" xfId="0" applyFont="1" applyBorder="1" applyAlignment="1" applyProtection="1">
      <alignment horizontal="left"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1" fillId="0" borderId="61" xfId="0" applyFont="1" applyBorder="1" applyAlignment="1">
      <alignment horizontal="left"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2" fillId="0" borderId="10" xfId="0" applyFont="1" applyBorder="1" applyAlignment="1">
      <alignment horizontal="center" vertical="center" wrapText="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7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31"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0" t="s">
        <v>159</v>
      </c>
      <c r="C2" s="171"/>
      <c r="D2" s="171"/>
      <c r="E2" s="171"/>
      <c r="F2" s="171"/>
      <c r="G2" s="171"/>
      <c r="H2" s="172"/>
    </row>
    <row r="3" spans="2:8" x14ac:dyDescent="0.25">
      <c r="B3" s="71"/>
      <c r="C3" s="72"/>
      <c r="D3" s="72"/>
      <c r="E3" s="72"/>
      <c r="F3" s="72"/>
      <c r="G3" s="72"/>
      <c r="H3" s="73"/>
    </row>
    <row r="4" spans="2:8" ht="63" customHeight="1" x14ac:dyDescent="0.25">
      <c r="B4" s="173" t="s">
        <v>186</v>
      </c>
      <c r="C4" s="174"/>
      <c r="D4" s="174"/>
      <c r="E4" s="174"/>
      <c r="F4" s="174"/>
      <c r="G4" s="174"/>
      <c r="H4" s="175"/>
    </row>
    <row r="5" spans="2:8" ht="63" customHeight="1" x14ac:dyDescent="0.25">
      <c r="B5" s="176"/>
      <c r="C5" s="177"/>
      <c r="D5" s="177"/>
      <c r="E5" s="177"/>
      <c r="F5" s="177"/>
      <c r="G5" s="177"/>
      <c r="H5" s="178"/>
    </row>
    <row r="6" spans="2:8" ht="16.5" x14ac:dyDescent="0.25">
      <c r="B6" s="179" t="s">
        <v>157</v>
      </c>
      <c r="C6" s="180"/>
      <c r="D6" s="180"/>
      <c r="E6" s="180"/>
      <c r="F6" s="180"/>
      <c r="G6" s="180"/>
      <c r="H6" s="181"/>
    </row>
    <row r="7" spans="2:8" ht="95.25" customHeight="1" x14ac:dyDescent="0.25">
      <c r="B7" s="189" t="s">
        <v>187</v>
      </c>
      <c r="C7" s="190"/>
      <c r="D7" s="190"/>
      <c r="E7" s="190"/>
      <c r="F7" s="190"/>
      <c r="G7" s="190"/>
      <c r="H7" s="191"/>
    </row>
    <row r="8" spans="2:8" ht="16.5" x14ac:dyDescent="0.25">
      <c r="B8" s="106"/>
      <c r="C8" s="107"/>
      <c r="D8" s="107"/>
      <c r="E8" s="107"/>
      <c r="F8" s="107"/>
      <c r="G8" s="107"/>
      <c r="H8" s="108"/>
    </row>
    <row r="9" spans="2:8" ht="16.5" customHeight="1" x14ac:dyDescent="0.25">
      <c r="B9" s="182" t="s">
        <v>179</v>
      </c>
      <c r="C9" s="183"/>
      <c r="D9" s="183"/>
      <c r="E9" s="183"/>
      <c r="F9" s="183"/>
      <c r="G9" s="183"/>
      <c r="H9" s="184"/>
    </row>
    <row r="10" spans="2:8" ht="44.25" customHeight="1" x14ac:dyDescent="0.25">
      <c r="B10" s="182"/>
      <c r="C10" s="183"/>
      <c r="D10" s="183"/>
      <c r="E10" s="183"/>
      <c r="F10" s="183"/>
      <c r="G10" s="183"/>
      <c r="H10" s="184"/>
    </row>
    <row r="11" spans="2:8" ht="15.75" thickBot="1" x14ac:dyDescent="0.3">
      <c r="B11" s="94"/>
      <c r="C11" s="97"/>
      <c r="D11" s="102"/>
      <c r="E11" s="103"/>
      <c r="F11" s="103"/>
      <c r="G11" s="104"/>
      <c r="H11" s="105"/>
    </row>
    <row r="12" spans="2:8" ht="15.75" thickTop="1" x14ac:dyDescent="0.25">
      <c r="B12" s="94"/>
      <c r="C12" s="185" t="s">
        <v>158</v>
      </c>
      <c r="D12" s="186"/>
      <c r="E12" s="187" t="s">
        <v>180</v>
      </c>
      <c r="F12" s="188"/>
      <c r="G12" s="97"/>
      <c r="H12" s="98"/>
    </row>
    <row r="13" spans="2:8" ht="81.599999999999994" customHeight="1" x14ac:dyDescent="0.25">
      <c r="B13" s="94"/>
      <c r="C13" s="192" t="s">
        <v>160</v>
      </c>
      <c r="D13" s="193"/>
      <c r="E13" s="194" t="s">
        <v>196</v>
      </c>
      <c r="F13" s="195"/>
      <c r="G13" s="97"/>
      <c r="H13" s="98"/>
    </row>
    <row r="14" spans="2:8" x14ac:dyDescent="0.25">
      <c r="B14" s="94"/>
      <c r="C14" s="198" t="s">
        <v>190</v>
      </c>
      <c r="D14" s="199"/>
      <c r="E14" s="168" t="s">
        <v>197</v>
      </c>
      <c r="F14" s="169"/>
      <c r="G14" s="97"/>
      <c r="H14" s="98"/>
    </row>
    <row r="15" spans="2:8" ht="32.25" customHeight="1" x14ac:dyDescent="0.25">
      <c r="B15" s="94"/>
      <c r="C15" s="196" t="s">
        <v>191</v>
      </c>
      <c r="D15" s="197"/>
      <c r="E15" s="168" t="s">
        <v>203</v>
      </c>
      <c r="F15" s="169"/>
      <c r="G15" s="97"/>
      <c r="H15" s="98"/>
    </row>
    <row r="16" spans="2:8" ht="28.5" customHeight="1" x14ac:dyDescent="0.25">
      <c r="B16" s="94"/>
      <c r="C16" s="162" t="s">
        <v>193</v>
      </c>
      <c r="D16" s="163"/>
      <c r="E16" s="158" t="s">
        <v>194</v>
      </c>
      <c r="F16" s="159"/>
      <c r="G16" s="97"/>
      <c r="H16" s="98"/>
    </row>
    <row r="17" spans="2:8" ht="32.25" customHeight="1" x14ac:dyDescent="0.25">
      <c r="B17" s="94"/>
      <c r="C17" s="145" t="s">
        <v>199</v>
      </c>
      <c r="D17" s="146"/>
      <c r="E17" s="168" t="s">
        <v>200</v>
      </c>
      <c r="F17" s="169"/>
      <c r="G17" s="97"/>
      <c r="H17" s="98"/>
    </row>
    <row r="18" spans="2:8" ht="72.75" customHeight="1" x14ac:dyDescent="0.25">
      <c r="B18" s="94"/>
      <c r="C18" s="162" t="s">
        <v>1</v>
      </c>
      <c r="D18" s="163"/>
      <c r="E18" s="158" t="s">
        <v>188</v>
      </c>
      <c r="F18" s="159"/>
      <c r="G18" s="97"/>
      <c r="H18" s="98"/>
    </row>
    <row r="19" spans="2:8" ht="64.5" customHeight="1" x14ac:dyDescent="0.25">
      <c r="B19" s="94"/>
      <c r="C19" s="162" t="s">
        <v>46</v>
      </c>
      <c r="D19" s="163"/>
      <c r="E19" s="158" t="s">
        <v>192</v>
      </c>
      <c r="F19" s="159"/>
      <c r="G19" s="147"/>
      <c r="H19" s="98"/>
    </row>
    <row r="20" spans="2:8" ht="62.25" customHeight="1" x14ac:dyDescent="0.25">
      <c r="B20" s="94"/>
      <c r="C20" s="162" t="s">
        <v>201</v>
      </c>
      <c r="D20" s="163"/>
      <c r="E20" s="158" t="s">
        <v>195</v>
      </c>
      <c r="F20" s="159"/>
      <c r="G20" s="147"/>
      <c r="H20" s="98"/>
    </row>
    <row r="21" spans="2:8" ht="71.25" customHeight="1" x14ac:dyDescent="0.25">
      <c r="B21" s="94"/>
      <c r="C21" s="162" t="s">
        <v>161</v>
      </c>
      <c r="D21" s="163"/>
      <c r="E21" s="158" t="s">
        <v>204</v>
      </c>
      <c r="F21" s="159"/>
      <c r="G21" s="147"/>
      <c r="H21" s="98"/>
    </row>
    <row r="22" spans="2:8" ht="55.5" customHeight="1" x14ac:dyDescent="0.25">
      <c r="B22" s="94"/>
      <c r="C22" s="160" t="s">
        <v>162</v>
      </c>
      <c r="D22" s="161"/>
      <c r="E22" s="158" t="s">
        <v>205</v>
      </c>
      <c r="F22" s="159"/>
      <c r="G22" s="148"/>
      <c r="H22" s="98"/>
    </row>
    <row r="23" spans="2:8" ht="42" customHeight="1" x14ac:dyDescent="0.25">
      <c r="B23" s="94"/>
      <c r="C23" s="160" t="s">
        <v>44</v>
      </c>
      <c r="D23" s="161"/>
      <c r="E23" s="158" t="s">
        <v>206</v>
      </c>
      <c r="F23" s="159"/>
      <c r="G23" s="97"/>
      <c r="H23" s="98"/>
    </row>
    <row r="24" spans="2:8" ht="59.25" customHeight="1" x14ac:dyDescent="0.25">
      <c r="B24" s="94"/>
      <c r="C24" s="160" t="s">
        <v>156</v>
      </c>
      <c r="D24" s="161"/>
      <c r="E24" s="158" t="s">
        <v>189</v>
      </c>
      <c r="F24" s="159"/>
      <c r="G24" s="97"/>
      <c r="H24" s="98"/>
    </row>
    <row r="25" spans="2:8" ht="23.25" customHeight="1" x14ac:dyDescent="0.25">
      <c r="B25" s="94"/>
      <c r="C25" s="160" t="s">
        <v>11</v>
      </c>
      <c r="D25" s="161"/>
      <c r="E25" s="158" t="s">
        <v>207</v>
      </c>
      <c r="F25" s="159"/>
      <c r="G25" s="97"/>
      <c r="H25" s="98"/>
    </row>
    <row r="26" spans="2:8" ht="30.75" customHeight="1" x14ac:dyDescent="0.25">
      <c r="B26" s="94"/>
      <c r="C26" s="160" t="s">
        <v>165</v>
      </c>
      <c r="D26" s="161"/>
      <c r="E26" s="158" t="s">
        <v>163</v>
      </c>
      <c r="F26" s="159"/>
      <c r="G26" s="97"/>
      <c r="H26" s="98"/>
    </row>
    <row r="27" spans="2:8" ht="35.25" customHeight="1" x14ac:dyDescent="0.25">
      <c r="B27" s="94"/>
      <c r="C27" s="160" t="s">
        <v>166</v>
      </c>
      <c r="D27" s="161"/>
      <c r="E27" s="158" t="s">
        <v>164</v>
      </c>
      <c r="F27" s="159"/>
      <c r="G27" s="97"/>
      <c r="H27" s="98"/>
    </row>
    <row r="28" spans="2:8" ht="33" customHeight="1" x14ac:dyDescent="0.25">
      <c r="B28" s="94"/>
      <c r="C28" s="160" t="s">
        <v>166</v>
      </c>
      <c r="D28" s="161"/>
      <c r="E28" s="158" t="s">
        <v>164</v>
      </c>
      <c r="F28" s="159"/>
      <c r="G28" s="97"/>
      <c r="H28" s="98"/>
    </row>
    <row r="29" spans="2:8" ht="30" customHeight="1" x14ac:dyDescent="0.25">
      <c r="B29" s="94"/>
      <c r="C29" s="160" t="s">
        <v>167</v>
      </c>
      <c r="D29" s="161"/>
      <c r="E29" s="158" t="s">
        <v>208</v>
      </c>
      <c r="F29" s="159"/>
      <c r="G29" s="97"/>
      <c r="H29" s="98"/>
    </row>
    <row r="30" spans="2:8" ht="35.25" customHeight="1" x14ac:dyDescent="0.25">
      <c r="B30" s="94"/>
      <c r="C30" s="160" t="s">
        <v>168</v>
      </c>
      <c r="D30" s="161"/>
      <c r="E30" s="158" t="s">
        <v>169</v>
      </c>
      <c r="F30" s="159"/>
      <c r="G30" s="97"/>
      <c r="H30" s="98"/>
    </row>
    <row r="31" spans="2:8" ht="31.5" customHeight="1" x14ac:dyDescent="0.25">
      <c r="B31" s="94"/>
      <c r="C31" s="160" t="s">
        <v>170</v>
      </c>
      <c r="D31" s="161"/>
      <c r="E31" s="158" t="s">
        <v>171</v>
      </c>
      <c r="F31" s="159"/>
      <c r="G31" s="97"/>
      <c r="H31" s="98"/>
    </row>
    <row r="32" spans="2:8" ht="35.25" customHeight="1" x14ac:dyDescent="0.25">
      <c r="B32" s="94"/>
      <c r="C32" s="160" t="s">
        <v>172</v>
      </c>
      <c r="D32" s="161"/>
      <c r="E32" s="158" t="s">
        <v>173</v>
      </c>
      <c r="F32" s="159"/>
      <c r="G32" s="97"/>
      <c r="H32" s="98"/>
    </row>
    <row r="33" spans="2:8" ht="59.25" customHeight="1" x14ac:dyDescent="0.25">
      <c r="B33" s="94"/>
      <c r="C33" s="160" t="s">
        <v>174</v>
      </c>
      <c r="D33" s="161"/>
      <c r="E33" s="158" t="s">
        <v>209</v>
      </c>
      <c r="F33" s="159"/>
      <c r="G33" s="97"/>
      <c r="H33" s="98"/>
    </row>
    <row r="34" spans="2:8" ht="41.45" customHeight="1" x14ac:dyDescent="0.25">
      <c r="B34" s="94"/>
      <c r="C34" s="160" t="s">
        <v>28</v>
      </c>
      <c r="D34" s="161"/>
      <c r="E34" s="158" t="s">
        <v>175</v>
      </c>
      <c r="F34" s="159"/>
      <c r="G34" s="97"/>
      <c r="H34" s="98"/>
    </row>
    <row r="35" spans="2:8" ht="96.6" customHeight="1" x14ac:dyDescent="0.25">
      <c r="B35" s="94"/>
      <c r="C35" s="160" t="s">
        <v>177</v>
      </c>
      <c r="D35" s="161"/>
      <c r="E35" s="158" t="s">
        <v>176</v>
      </c>
      <c r="F35" s="159"/>
      <c r="G35" s="97"/>
      <c r="H35" s="98"/>
    </row>
    <row r="36" spans="2:8" ht="52.15" customHeight="1" x14ac:dyDescent="0.25">
      <c r="B36" s="94"/>
      <c r="C36" s="160" t="s">
        <v>38</v>
      </c>
      <c r="D36" s="161"/>
      <c r="E36" s="158" t="s">
        <v>178</v>
      </c>
      <c r="F36" s="159"/>
      <c r="G36" s="97"/>
      <c r="H36" s="98"/>
    </row>
    <row r="37" spans="2:8" ht="12" customHeight="1" thickBot="1" x14ac:dyDescent="0.3">
      <c r="B37" s="94"/>
      <c r="C37" s="164"/>
      <c r="D37" s="165"/>
      <c r="E37" s="166"/>
      <c r="F37" s="167"/>
      <c r="G37" s="97"/>
      <c r="H37" s="98"/>
    </row>
    <row r="38" spans="2:8" ht="15.75" thickTop="1" x14ac:dyDescent="0.25">
      <c r="B38" s="94"/>
      <c r="C38" s="95"/>
      <c r="D38" s="95"/>
      <c r="E38" s="96"/>
      <c r="F38" s="96"/>
      <c r="G38" s="97"/>
      <c r="H38" s="98"/>
    </row>
    <row r="39" spans="2:8" ht="21" customHeight="1" x14ac:dyDescent="0.25">
      <c r="B39" s="155" t="s">
        <v>181</v>
      </c>
      <c r="C39" s="156"/>
      <c r="D39" s="156"/>
      <c r="E39" s="156"/>
      <c r="F39" s="156"/>
      <c r="G39" s="156"/>
      <c r="H39" s="157"/>
    </row>
    <row r="40" spans="2:8" ht="20.25" customHeight="1" x14ac:dyDescent="0.25">
      <c r="B40" s="155" t="s">
        <v>182</v>
      </c>
      <c r="C40" s="156"/>
      <c r="D40" s="156"/>
      <c r="E40" s="156"/>
      <c r="F40" s="156"/>
      <c r="G40" s="156"/>
      <c r="H40" s="157"/>
    </row>
    <row r="41" spans="2:8" ht="20.25" customHeight="1" x14ac:dyDescent="0.25">
      <c r="B41" s="155" t="s">
        <v>183</v>
      </c>
      <c r="C41" s="156"/>
      <c r="D41" s="156"/>
      <c r="E41" s="156"/>
      <c r="F41" s="156"/>
      <c r="G41" s="156"/>
      <c r="H41" s="157"/>
    </row>
    <row r="42" spans="2:8" ht="20.25" customHeight="1" x14ac:dyDescent="0.25">
      <c r="B42" s="155" t="s">
        <v>184</v>
      </c>
      <c r="C42" s="156"/>
      <c r="D42" s="156"/>
      <c r="E42" s="156"/>
      <c r="F42" s="156"/>
      <c r="G42" s="156"/>
      <c r="H42" s="157"/>
    </row>
    <row r="43" spans="2:8" x14ac:dyDescent="0.25">
      <c r="B43" s="155" t="s">
        <v>185</v>
      </c>
      <c r="C43" s="156"/>
      <c r="D43" s="156"/>
      <c r="E43" s="156"/>
      <c r="F43" s="156"/>
      <c r="G43" s="156"/>
      <c r="H43" s="157"/>
    </row>
    <row r="44" spans="2:8" ht="15.75" thickBot="1" x14ac:dyDescent="0.3">
      <c r="B44" s="99"/>
      <c r="C44" s="100"/>
      <c r="D44" s="100"/>
      <c r="E44" s="100"/>
      <c r="F44" s="100"/>
      <c r="G44" s="100"/>
      <c r="H44" s="101"/>
    </row>
  </sheetData>
  <mergeCells count="61">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 ref="C23:D23"/>
    <mergeCell ref="C19:D19"/>
    <mergeCell ref="C21:D21"/>
    <mergeCell ref="C22:D22"/>
    <mergeCell ref="E19:F19"/>
    <mergeCell ref="E21:F21"/>
    <mergeCell ref="E22:F22"/>
    <mergeCell ref="E23:F23"/>
    <mergeCell ref="C20:D20"/>
    <mergeCell ref="E20:F20"/>
    <mergeCell ref="E25:F25"/>
    <mergeCell ref="C25:D25"/>
    <mergeCell ref="C26:D26"/>
    <mergeCell ref="E26:F26"/>
    <mergeCell ref="C28:D28"/>
    <mergeCell ref="E28:F28"/>
    <mergeCell ref="B39:H39"/>
    <mergeCell ref="B40:H40"/>
    <mergeCell ref="B41:H41"/>
    <mergeCell ref="E36:F36"/>
    <mergeCell ref="C34:D34"/>
    <mergeCell ref="E34:F34"/>
    <mergeCell ref="E32:F32"/>
    <mergeCell ref="E35:F35"/>
    <mergeCell ref="C36:D36"/>
    <mergeCell ref="C37:D37"/>
    <mergeCell ref="E37:F37"/>
    <mergeCell ref="C33:D33"/>
    <mergeCell ref="E33:F33"/>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1"/>
  <sheetViews>
    <sheetView tabSelected="1" topLeftCell="Q1" zoomScale="60" zoomScaleNormal="60" workbookViewId="0">
      <pane ySplit="8" topLeftCell="A10" activePane="bottomLeft" state="frozen"/>
      <selection pane="bottomLeft" activeCell="AK10" sqref="AK10"/>
    </sheetView>
  </sheetViews>
  <sheetFormatPr baseColWidth="10" defaultColWidth="11.42578125" defaultRowHeight="16.5" x14ac:dyDescent="0.3"/>
  <cols>
    <col min="1" max="1" width="4" style="128" bestFit="1" customWidth="1"/>
    <col min="2" max="2" width="24.28515625" style="128" customWidth="1"/>
    <col min="3" max="3" width="61.28515625" style="128" customWidth="1"/>
    <col min="4" max="4" width="47"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18.85546875" style="110" customWidth="1"/>
    <col min="35" max="35" width="23.5703125" style="110" customWidth="1"/>
    <col min="36" max="36" width="20.5703125" style="110" customWidth="1"/>
    <col min="37" max="37" width="39.7109375" style="110" customWidth="1"/>
    <col min="38" max="38" width="21" style="110" customWidth="1"/>
    <col min="39" max="16384" width="11.42578125" style="110"/>
  </cols>
  <sheetData>
    <row r="1" spans="1:70" ht="35.25" customHeight="1" x14ac:dyDescent="0.3">
      <c r="A1" s="230" t="s">
        <v>137</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2"/>
      <c r="AM1" s="154"/>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33" t="s">
        <v>216</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5"/>
      <c r="AM2" s="154"/>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33" t="s">
        <v>214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5"/>
      <c r="AM3" s="154"/>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24" customHeight="1" x14ac:dyDescent="0.3">
      <c r="A4" s="233" t="s">
        <v>215</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5"/>
      <c r="AM4" s="154"/>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1"/>
      <c r="B5" s="151"/>
      <c r="C5" s="151"/>
      <c r="D5" s="151"/>
      <c r="E5" s="152"/>
      <c r="F5" s="152"/>
      <c r="G5" s="153"/>
      <c r="H5" s="153"/>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x14ac:dyDescent="0.3">
      <c r="A6" s="214" t="s">
        <v>133</v>
      </c>
      <c r="B6" s="214"/>
      <c r="C6" s="214"/>
      <c r="D6" s="214"/>
      <c r="E6" s="214"/>
      <c r="F6" s="214"/>
      <c r="G6" s="214"/>
      <c r="H6" s="214"/>
      <c r="I6" s="214"/>
      <c r="J6" s="214" t="s">
        <v>134</v>
      </c>
      <c r="K6" s="214"/>
      <c r="L6" s="214"/>
      <c r="M6" s="214"/>
      <c r="N6" s="214"/>
      <c r="O6" s="214"/>
      <c r="P6" s="214"/>
      <c r="Q6" s="214" t="s">
        <v>135</v>
      </c>
      <c r="R6" s="214"/>
      <c r="S6" s="214"/>
      <c r="T6" s="214"/>
      <c r="U6" s="214"/>
      <c r="V6" s="214"/>
      <c r="W6" s="214"/>
      <c r="X6" s="214"/>
      <c r="Y6" s="214"/>
      <c r="Z6" s="214" t="s">
        <v>136</v>
      </c>
      <c r="AA6" s="214"/>
      <c r="AB6" s="214"/>
      <c r="AC6" s="214"/>
      <c r="AD6" s="214"/>
      <c r="AE6" s="214"/>
      <c r="AF6" s="214"/>
      <c r="AG6" s="214" t="s">
        <v>33</v>
      </c>
      <c r="AH6" s="214"/>
      <c r="AI6" s="214"/>
      <c r="AJ6" s="214"/>
      <c r="AK6" s="214"/>
      <c r="AL6" s="214"/>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19" t="s">
        <v>0</v>
      </c>
      <c r="B7" s="143"/>
      <c r="C7" s="143"/>
      <c r="D7" s="218" t="s">
        <v>193</v>
      </c>
      <c r="E7" s="218" t="s">
        <v>199</v>
      </c>
      <c r="F7" s="142"/>
      <c r="G7" s="218" t="s">
        <v>46</v>
      </c>
      <c r="H7" s="236" t="s">
        <v>201</v>
      </c>
      <c r="I7" s="218" t="s">
        <v>129</v>
      </c>
      <c r="J7" s="218" t="s">
        <v>32</v>
      </c>
      <c r="K7" s="214" t="s">
        <v>4</v>
      </c>
      <c r="L7" s="218" t="s">
        <v>83</v>
      </c>
      <c r="M7" s="218" t="s">
        <v>88</v>
      </c>
      <c r="N7" s="218" t="s">
        <v>41</v>
      </c>
      <c r="O7" s="214" t="s">
        <v>4</v>
      </c>
      <c r="P7" s="218" t="s">
        <v>44</v>
      </c>
      <c r="Q7" s="220" t="s">
        <v>10</v>
      </c>
      <c r="R7" s="218" t="s">
        <v>156</v>
      </c>
      <c r="S7" s="218" t="s">
        <v>11</v>
      </c>
      <c r="T7" s="218" t="s">
        <v>7</v>
      </c>
      <c r="U7" s="218"/>
      <c r="V7" s="218"/>
      <c r="W7" s="218"/>
      <c r="X7" s="218"/>
      <c r="Y7" s="218"/>
      <c r="Z7" s="220" t="s">
        <v>132</v>
      </c>
      <c r="AA7" s="220" t="s">
        <v>42</v>
      </c>
      <c r="AB7" s="220" t="s">
        <v>4</v>
      </c>
      <c r="AC7" s="220" t="s">
        <v>43</v>
      </c>
      <c r="AD7" s="220" t="s">
        <v>4</v>
      </c>
      <c r="AE7" s="220" t="s">
        <v>45</v>
      </c>
      <c r="AF7" s="220" t="s">
        <v>28</v>
      </c>
      <c r="AG7" s="218" t="s">
        <v>33</v>
      </c>
      <c r="AH7" s="218" t="s">
        <v>34</v>
      </c>
      <c r="AI7" s="218" t="s">
        <v>35</v>
      </c>
      <c r="AJ7" s="218" t="s">
        <v>37</v>
      </c>
      <c r="AK7" s="218" t="s">
        <v>36</v>
      </c>
      <c r="AL7" s="218"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19"/>
      <c r="B8" s="144" t="s">
        <v>190</v>
      </c>
      <c r="C8" s="144" t="s">
        <v>202</v>
      </c>
      <c r="D8" s="218"/>
      <c r="E8" s="218"/>
      <c r="F8" s="142" t="s">
        <v>198</v>
      </c>
      <c r="G8" s="218"/>
      <c r="H8" s="237"/>
      <c r="I8" s="218"/>
      <c r="J8" s="218"/>
      <c r="K8" s="214"/>
      <c r="L8" s="218"/>
      <c r="M8" s="218"/>
      <c r="N8" s="214"/>
      <c r="O8" s="214"/>
      <c r="P8" s="218"/>
      <c r="Q8" s="220"/>
      <c r="R8" s="218"/>
      <c r="S8" s="218"/>
      <c r="T8" s="130" t="s">
        <v>12</v>
      </c>
      <c r="U8" s="130" t="s">
        <v>16</v>
      </c>
      <c r="V8" s="130" t="s">
        <v>27</v>
      </c>
      <c r="W8" s="130" t="s">
        <v>17</v>
      </c>
      <c r="X8" s="130" t="s">
        <v>20</v>
      </c>
      <c r="Y8" s="130" t="s">
        <v>23</v>
      </c>
      <c r="Z8" s="220"/>
      <c r="AA8" s="220"/>
      <c r="AB8" s="220"/>
      <c r="AC8" s="220"/>
      <c r="AD8" s="220"/>
      <c r="AE8" s="220"/>
      <c r="AF8" s="220"/>
      <c r="AG8" s="218"/>
      <c r="AH8" s="218"/>
      <c r="AI8" s="218"/>
      <c r="AJ8" s="218"/>
      <c r="AK8" s="218"/>
      <c r="AL8" s="218"/>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115.5" x14ac:dyDescent="0.25">
      <c r="A9" s="211">
        <v>1</v>
      </c>
      <c r="B9" s="224"/>
      <c r="C9" s="221" t="s">
        <v>218</v>
      </c>
      <c r="D9" s="212" t="s">
        <v>220</v>
      </c>
      <c r="E9" s="204" t="s">
        <v>219</v>
      </c>
      <c r="F9" s="204" t="s">
        <v>219</v>
      </c>
      <c r="G9" s="212" t="s">
        <v>221</v>
      </c>
      <c r="H9" s="205" t="s">
        <v>210</v>
      </c>
      <c r="I9" s="213">
        <v>50</v>
      </c>
      <c r="J9" s="200" t="str">
        <f>IF(I9&lt;=0,"",IF(I9&lt;=2,"Muy Baja",IF(I9&lt;=24,"Baja",IF(I9&lt;=500,"Media",IF(I9&lt;=5000,"Alta","Muy Alta")))))</f>
        <v>Media</v>
      </c>
      <c r="K9" s="201">
        <f>IF(J9="","",IF(J9="Muy Baja",0.2,IF(J9="Baja",0.4,IF(J9="Media",0.6,IF(J9="Alta",0.8,IF(J9="Muy Alta",1,))))))</f>
        <v>0.6</v>
      </c>
      <c r="L9" s="203" t="s">
        <v>144</v>
      </c>
      <c r="M9" s="201" t="str">
        <f>IF(NOT(ISERROR(MATCH(L9,'Tabla Impacto'!$B$221:$B$223,0))),'Tabla Impacto'!$F$223&amp;"Por favor no seleccionar los criterios de impacto(Afectación Económica o presupuestal y Pérdida Reputacional)",L9)</f>
        <v xml:space="preserve">     Entre 100 y 500 SMLMV </v>
      </c>
      <c r="N9" s="200" t="str">
        <f>IF(OR(M9='Tabla Impacto'!$C$11,M9='Tabla Impacto'!$D$11),"Leve",IF(OR(M9='Tabla Impacto'!$C$12,M9='Tabla Impacto'!$D$12),"Menor",IF(OR(M9='Tabla Impacto'!$C$13,M9='Tabla Impacto'!$D$13),"Moderado",IF(OR(M9='Tabla Impacto'!$C$14,M9='Tabla Impacto'!$D$14),"Mayor",IF(OR(M9='Tabla Impacto'!$C$15,M9='Tabla Impacto'!$D$15),"Catastrófico","")))))</f>
        <v>Mayor</v>
      </c>
      <c r="O9" s="201">
        <f>IF(N9="","",IF(N9="Leve",0.2,IF(N9="Menor",0.4,IF(N9="Moderado",0.6,IF(N9="Mayor",0.8,IF(N9="Catastrófico",1,))))))</f>
        <v>0.8</v>
      </c>
      <c r="P9" s="202" t="s">
        <v>77</v>
      </c>
      <c r="Q9" s="113">
        <v>1</v>
      </c>
      <c r="R9" s="114" t="s">
        <v>222</v>
      </c>
      <c r="S9" s="115" t="str">
        <f>IF(OR(T9="Preventivo",T9="Detectivo"),"Probabilidad",IF(T9="Correctivo","Impacto",""))</f>
        <v>Probabilidad</v>
      </c>
      <c r="T9" s="116" t="s">
        <v>13</v>
      </c>
      <c r="U9" s="116" t="s">
        <v>9</v>
      </c>
      <c r="V9" s="117" t="str">
        <f>IF(AND(T9="Preventivo",U9="Automático"),"50%",IF(AND(T9="Preventivo",U9="Manual"),"40%",IF(AND(T9="Detectivo",U9="Automático"),"40%",IF(AND(T9="Detectivo",U9="Manual"),"30%",IF(AND(T9="Correctivo",U9="Automático"),"35%",IF(AND(T9="Correctivo",U9="Manual"),"25%",""))))))</f>
        <v>50%</v>
      </c>
      <c r="W9" s="116" t="s">
        <v>18</v>
      </c>
      <c r="X9" s="116" t="s">
        <v>21</v>
      </c>
      <c r="Y9" s="116" t="s">
        <v>115</v>
      </c>
      <c r="Z9" s="118">
        <f>IFERROR(IF(S9="Probabilidad",(K9-(+K9*V9)),IF(S9="Impacto",K9,"")),"")</f>
        <v>0.3</v>
      </c>
      <c r="AA9" s="119" t="str">
        <f>IFERROR(IF(Z9="","",IF(Z9&lt;=0.2,"Muy Baja",IF(Z9&lt;=0.4,"Baja",IF(Z9&lt;=0.6,"Media",IF(Z9&lt;=0.8,"Alta","Muy Alta"))))),"")</f>
        <v>Baja</v>
      </c>
      <c r="AB9" s="117">
        <f>+Z9</f>
        <v>0.3</v>
      </c>
      <c r="AC9" s="119" t="str">
        <f>IFERROR(IF(AD9="","",IF(AD9&lt;=0.2,"Leve",IF(AD9&lt;=0.4,"Menor",IF(AD9&lt;=0.6,"Moderado",IF(AD9&lt;=0.8,"Mayor","Catastrófico"))))),"")</f>
        <v>Mayor</v>
      </c>
      <c r="AD9" s="117">
        <f>IFERROR(IF(S9="Impacto",(O9-(+O9*V9)),IF(S9="Probabilidad",O9,"")),"")</f>
        <v>0.8</v>
      </c>
      <c r="AE9" s="120"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116" t="s">
        <v>130</v>
      </c>
      <c r="AG9" s="150" t="s">
        <v>224</v>
      </c>
      <c r="AH9" s="149" t="s">
        <v>225</v>
      </c>
      <c r="AI9" s="123">
        <v>44423</v>
      </c>
      <c r="AJ9" s="123" t="s">
        <v>213</v>
      </c>
      <c r="AK9" s="150" t="s">
        <v>228</v>
      </c>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99" x14ac:dyDescent="0.3">
      <c r="A10" s="211"/>
      <c r="B10" s="225"/>
      <c r="C10" s="222"/>
      <c r="D10" s="212"/>
      <c r="E10" s="204"/>
      <c r="F10" s="204"/>
      <c r="G10" s="212"/>
      <c r="H10" s="206"/>
      <c r="I10" s="213"/>
      <c r="J10" s="200"/>
      <c r="K10" s="201"/>
      <c r="L10" s="203"/>
      <c r="M10" s="201">
        <f>IF(NOT(ISERROR(MATCH(L10,_xlfn.ANCHORARRAY(E21),0))),K23&amp;"Por favor no seleccionar los criterios de impacto",L10)</f>
        <v>0</v>
      </c>
      <c r="N10" s="200"/>
      <c r="O10" s="201"/>
      <c r="P10" s="202"/>
      <c r="Q10" s="113">
        <v>2</v>
      </c>
      <c r="R10" s="114" t="s">
        <v>223</v>
      </c>
      <c r="S10" s="115" t="str">
        <f>IF(OR(T10="Preventivo",T10="Detectivo"),"Probabilidad",IF(T10="Correctivo","Impacto",""))</f>
        <v>Impacto</v>
      </c>
      <c r="T10" s="116" t="s">
        <v>15</v>
      </c>
      <c r="U10" s="116" t="s">
        <v>8</v>
      </c>
      <c r="V10" s="117"/>
      <c r="W10" s="116" t="s">
        <v>18</v>
      </c>
      <c r="X10" s="116" t="s">
        <v>21</v>
      </c>
      <c r="Y10" s="116" t="s">
        <v>115</v>
      </c>
      <c r="Z10" s="118">
        <f>IFERROR(IF(AND(S9="Probabilidad",S10="Probabilidad"),(AB9-(+AB9*V10)),IF(S10="Probabilidad",(K9-(+K9*V10)),IF(S10="Impacto",AB9,""))),"")</f>
        <v>0.3</v>
      </c>
      <c r="AA10" s="119" t="str">
        <f t="shared" ref="AA10:AA68" si="0">IFERROR(IF(Z10="","",IF(Z10&lt;=0.2,"Muy Baja",IF(Z10&lt;=0.4,"Baja",IF(Z10&lt;=0.6,"Media",IF(Z10&lt;=0.8,"Alta","Muy Alta"))))),"")</f>
        <v>Baja</v>
      </c>
      <c r="AB10" s="117">
        <f t="shared" ref="AB10:AB14" si="1">+Z10</f>
        <v>0.3</v>
      </c>
      <c r="AC10" s="119" t="str">
        <f t="shared" ref="AC10:AC68" si="2">IFERROR(IF(AD10="","",IF(AD10&lt;=0.2,"Leve",IF(AD10&lt;=0.4,"Menor",IF(AD10&lt;=0.6,"Moderado",IF(AD10&lt;=0.8,"Mayor","Catastrófico"))))),"")</f>
        <v>Mayor</v>
      </c>
      <c r="AD10" s="117">
        <f>IFERROR(IF(AND(S9="Impacto",S10="Impacto"),(AD9-(+AD9*V10)),IF(S10="Impacto",($O$9-(+$O$9*V10)),IF(S10="Probabilidad",AD9,""))),"")</f>
        <v>0.8</v>
      </c>
      <c r="AE10" s="120" t="str">
        <f t="shared" ref="AE10:AE14"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6" t="s">
        <v>130</v>
      </c>
      <c r="AG10" s="121" t="s">
        <v>226</v>
      </c>
      <c r="AH10" s="149"/>
      <c r="AI10" s="123">
        <v>44423</v>
      </c>
      <c r="AJ10" s="123" t="s">
        <v>213</v>
      </c>
      <c r="AK10" s="121" t="s">
        <v>229</v>
      </c>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ht="75.75" x14ac:dyDescent="0.3">
      <c r="A11" s="211"/>
      <c r="B11" s="225"/>
      <c r="C11" s="222"/>
      <c r="D11" s="212"/>
      <c r="E11" s="204"/>
      <c r="F11" s="204"/>
      <c r="G11" s="212"/>
      <c r="H11" s="206"/>
      <c r="I11" s="213"/>
      <c r="J11" s="200"/>
      <c r="K11" s="201"/>
      <c r="L11" s="203"/>
      <c r="M11" s="201">
        <f>IF(NOT(ISERROR(MATCH(L11,_xlfn.ANCHORARRAY(E22),0))),K24&amp;"Por favor no seleccionar los criterios de impacto",L11)</f>
        <v>0</v>
      </c>
      <c r="N11" s="200"/>
      <c r="O11" s="201"/>
      <c r="P11" s="202"/>
      <c r="Q11" s="113">
        <v>3</v>
      </c>
      <c r="R11" s="126"/>
      <c r="S11" s="115" t="str">
        <f t="shared" ref="S11:S13" si="4">IF(OR(T11="Preventivo",T11="Detectivo"),"Probabilidad",IF(T11="Correctivo","Impacto",""))</f>
        <v>Impacto</v>
      </c>
      <c r="T11" s="116" t="s">
        <v>15</v>
      </c>
      <c r="U11" s="116" t="s">
        <v>8</v>
      </c>
      <c r="V11" s="117" t="str">
        <f t="shared" ref="V11:V14" si="5">IF(AND(T11="Preventivo",U11="Automático"),"50%",IF(AND(T11="Preventivo",U11="Manual"),"40%",IF(AND(T11="Detectivo",U11="Automático"),"40%",IF(AND(T11="Detectivo",U11="Manual"),"30%",IF(AND(T11="Correctivo",U11="Automático"),"35%",IF(AND(T11="Correctivo",U11="Manual"),"25%",""))))))</f>
        <v>25%</v>
      </c>
      <c r="W11" s="116" t="s">
        <v>18</v>
      </c>
      <c r="X11" s="116" t="s">
        <v>21</v>
      </c>
      <c r="Y11" s="116" t="s">
        <v>115</v>
      </c>
      <c r="Z11" s="118">
        <f>IFERROR(IF(AND(S10="Probabilidad",S11="Probabilidad"),(AB10-(+AB10*V11)),IF(AND(S10="Impacto",S11="Probabilidad"),(AB9-(+AB9*V11)),IF(S11="Impacto",AB10,""))),"")</f>
        <v>0.3</v>
      </c>
      <c r="AA11" s="119" t="str">
        <f t="shared" si="0"/>
        <v>Baja</v>
      </c>
      <c r="AB11" s="117">
        <f t="shared" si="1"/>
        <v>0.3</v>
      </c>
      <c r="AC11" s="119" t="str">
        <f t="shared" si="2"/>
        <v>Moderado</v>
      </c>
      <c r="AD11" s="117">
        <f>IFERROR(IF(AND(S10="Impacto",S11="Impacto"),(AD10-(+AD10*V11)),IF(AND(S10="Probabilidad",S11="Impacto"),(AD9-(+AD9*V11)),IF(S11="Probabilidad",AD10,""))),"")</f>
        <v>0.60000000000000009</v>
      </c>
      <c r="AE11" s="120" t="str">
        <f t="shared" si="3"/>
        <v>Moderado</v>
      </c>
      <c r="AF11" s="116" t="s">
        <v>130</v>
      </c>
      <c r="AG11" s="121"/>
      <c r="AH11" s="149"/>
      <c r="AI11" s="123">
        <v>44423</v>
      </c>
      <c r="AJ11" s="123" t="s">
        <v>213</v>
      </c>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ht="87.75" x14ac:dyDescent="0.3">
      <c r="A12" s="211"/>
      <c r="B12" s="225"/>
      <c r="C12" s="222"/>
      <c r="D12" s="212"/>
      <c r="E12" s="204"/>
      <c r="F12" s="204"/>
      <c r="G12" s="212"/>
      <c r="H12" s="206"/>
      <c r="I12" s="213"/>
      <c r="J12" s="200"/>
      <c r="K12" s="201"/>
      <c r="L12" s="203"/>
      <c r="M12" s="201">
        <f>IF(NOT(ISERROR(MATCH(L12,_xlfn.ANCHORARRAY(E23),0))),K25&amp;"Por favor no seleccionar los criterios de impacto",L12)</f>
        <v>0</v>
      </c>
      <c r="N12" s="200"/>
      <c r="O12" s="201"/>
      <c r="P12" s="202"/>
      <c r="Q12" s="113">
        <v>4</v>
      </c>
      <c r="R12" s="114"/>
      <c r="S12" s="115" t="str">
        <f t="shared" si="4"/>
        <v>Impacto</v>
      </c>
      <c r="T12" s="116" t="s">
        <v>15</v>
      </c>
      <c r="U12" s="116" t="s">
        <v>8</v>
      </c>
      <c r="V12" s="117" t="str">
        <f t="shared" si="5"/>
        <v>25%</v>
      </c>
      <c r="W12" s="116" t="s">
        <v>18</v>
      </c>
      <c r="X12" s="116" t="s">
        <v>21</v>
      </c>
      <c r="Y12" s="116" t="s">
        <v>115</v>
      </c>
      <c r="Z12" s="118">
        <f t="shared" ref="Z12:Z14" si="6">IFERROR(IF(AND(S11="Probabilidad",S12="Probabilidad"),(AB11-(+AB11*V12)),IF(AND(S11="Impacto",S12="Probabilidad"),(AB10-(+AB10*V12)),IF(S12="Impacto",AB11,""))),"")</f>
        <v>0.3</v>
      </c>
      <c r="AA12" s="119" t="str">
        <f t="shared" si="0"/>
        <v>Baja</v>
      </c>
      <c r="AB12" s="117">
        <f t="shared" si="1"/>
        <v>0.3</v>
      </c>
      <c r="AC12" s="119" t="str">
        <f t="shared" si="2"/>
        <v>Moderado</v>
      </c>
      <c r="AD12" s="117">
        <f t="shared" ref="AD12:AD14" si="7">IFERROR(IF(AND(S11="Impacto",S12="Impacto"),(AD11-(+AD11*V12)),IF(AND(S11="Probabilidad",S12="Impacto"),(AD10-(+AD10*V12)),IF(S12="Probabilidad",AD11,""))),"")</f>
        <v>0.45000000000000007</v>
      </c>
      <c r="AE12" s="120" t="str">
        <f>IFERROR(IF(OR(AND(AA12="Muy Baja",AC12="Leve"),AND(AA12="Muy Baja",AC12="Menor"),AND(AA12="Baja",AC12="Leve")),"Bajo",IF(OR(AND(AA12="Muy baja",AC12="Moderado"),AND(AA12="Baja",AC12="Menor"),AND(AA12="Baja",AC12="Moderado"),AND(AA12="Media",AC12="Leve"),AND(AA12="Media",AC12="Menor"),AND(AA12="Media",AC12="Moderado"),AND(AA12="Alta",AC12="Leve"),AND(AA12="Alta",AC12="Menor")),"Moderado",IF(OR(AND(AA12="Muy Baja",AC12="Mayor"),AND(AA12="Baja",AC12="Mayor"),AND(AA12="Media",AC12="Mayor"),AND(AA12="Alta",AC12="Moderado"),AND(AA12="Alta",AC12="Mayor"),AND(AA12="Muy Alta",AC12="Leve"),AND(AA12="Muy Alta",AC12="Menor"),AND(AA12="Muy Alta",AC12="Moderado"),AND(AA12="Muy Alta",AC12="Mayor")),"Alto",IF(OR(AND(AA12="Muy Baja",AC12="Catastrófico"),AND(AA12="Baja",AC12="Catastrófico"),AND(AA12="Media",AC12="Catastrófico"),AND(AA12="Alta",AC12="Catastrófico"),AND(AA12="Muy Alta",AC12="Catastrófico")),"Extremo","")))),"")</f>
        <v>Moderado</v>
      </c>
      <c r="AF12" s="116" t="s">
        <v>131</v>
      </c>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11"/>
      <c r="B13" s="225"/>
      <c r="C13" s="222"/>
      <c r="D13" s="212"/>
      <c r="E13" s="204"/>
      <c r="F13" s="204"/>
      <c r="G13" s="212"/>
      <c r="H13" s="206"/>
      <c r="I13" s="213"/>
      <c r="J13" s="200"/>
      <c r="K13" s="201"/>
      <c r="L13" s="203"/>
      <c r="M13" s="201">
        <f>IF(NOT(ISERROR(MATCH(L13,_xlfn.ANCHORARRAY(E24),0))),K26&amp;"Por favor no seleccionar los criterios de impacto",L13)</f>
        <v>0</v>
      </c>
      <c r="N13" s="200"/>
      <c r="O13" s="201"/>
      <c r="P13" s="202"/>
      <c r="Q13" s="113">
        <v>5</v>
      </c>
      <c r="R13" s="114"/>
      <c r="S13" s="115" t="str">
        <f t="shared" si="4"/>
        <v/>
      </c>
      <c r="T13" s="116"/>
      <c r="U13" s="116"/>
      <c r="V13" s="117" t="str">
        <f t="shared" si="5"/>
        <v/>
      </c>
      <c r="W13" s="116"/>
      <c r="X13" s="116"/>
      <c r="Y13" s="116"/>
      <c r="Z13" s="118" t="str">
        <f t="shared" si="6"/>
        <v/>
      </c>
      <c r="AA13" s="119" t="str">
        <f t="shared" si="0"/>
        <v/>
      </c>
      <c r="AB13" s="117" t="str">
        <f t="shared" si="1"/>
        <v/>
      </c>
      <c r="AC13" s="119" t="str">
        <f t="shared" si="2"/>
        <v/>
      </c>
      <c r="AD13" s="117" t="str">
        <f t="shared" si="7"/>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73.5" customHeight="1" x14ac:dyDescent="0.3">
      <c r="A14" s="211"/>
      <c r="B14" s="226"/>
      <c r="C14" s="223"/>
      <c r="D14" s="212"/>
      <c r="E14" s="204"/>
      <c r="F14" s="204"/>
      <c r="G14" s="212"/>
      <c r="H14" s="207"/>
      <c r="I14" s="213"/>
      <c r="J14" s="200"/>
      <c r="K14" s="201"/>
      <c r="L14" s="203"/>
      <c r="M14" s="201">
        <f>IF(NOT(ISERROR(MATCH(L14,_xlfn.ANCHORARRAY(E25),0))),K27&amp;"Por favor no seleccionar los criterios de impacto",L14)</f>
        <v>0</v>
      </c>
      <c r="N14" s="200"/>
      <c r="O14" s="201"/>
      <c r="P14" s="202"/>
      <c r="Q14" s="113">
        <v>6</v>
      </c>
      <c r="R14" s="114"/>
      <c r="S14" s="115" t="str">
        <f t="shared" ref="S14" si="8">IF(OR(T14="Preventivo",T14="Detectivo"),"Probabilidad",IF(T14="Correctivo","Impacto",""))</f>
        <v/>
      </c>
      <c r="T14" s="116"/>
      <c r="U14" s="116"/>
      <c r="V14" s="117" t="str">
        <f t="shared" si="5"/>
        <v/>
      </c>
      <c r="W14" s="116"/>
      <c r="X14" s="116"/>
      <c r="Y14" s="116"/>
      <c r="Z14" s="118" t="str">
        <f t="shared" si="6"/>
        <v/>
      </c>
      <c r="AA14" s="119" t="str">
        <f t="shared" si="0"/>
        <v/>
      </c>
      <c r="AB14" s="117" t="str">
        <f t="shared" si="1"/>
        <v/>
      </c>
      <c r="AC14" s="119" t="str">
        <f t="shared" si="2"/>
        <v/>
      </c>
      <c r="AD14" s="117" t="str">
        <f t="shared" si="7"/>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75.75" x14ac:dyDescent="0.3">
      <c r="A15" s="211">
        <v>2</v>
      </c>
      <c r="B15" s="224" t="s">
        <v>212</v>
      </c>
      <c r="C15" s="227"/>
      <c r="D15" s="212" t="s">
        <v>227</v>
      </c>
      <c r="E15" s="204"/>
      <c r="F15" s="204"/>
      <c r="G15" s="212" t="s">
        <v>217</v>
      </c>
      <c r="H15" s="205" t="s">
        <v>210</v>
      </c>
      <c r="I15" s="213">
        <v>50</v>
      </c>
      <c r="J15" s="200" t="str">
        <f>IF(I15&lt;=0,"",IF(I15&lt;=2,"Muy Baja",IF(I15&lt;=24,"Baja",IF(I15&lt;=500,"Media",IF(I15&lt;=5000,"Alta","Muy Alta")))))</f>
        <v>Media</v>
      </c>
      <c r="K15" s="201">
        <f>IF(J15="","",IF(J15="Muy Baja",0.2,IF(J15="Baja",0.4,IF(J15="Media",0.6,IF(J15="Alta",0.8,IF(J15="Muy Alta",1,))))))</f>
        <v>0.6</v>
      </c>
      <c r="L15" s="203" t="s">
        <v>139</v>
      </c>
      <c r="M15" s="201" t="str">
        <f>IF(NOT(ISERROR(MATCH(L15,'Tabla Impacto'!$B$221:$B$223,0))),'Tabla Impacto'!$F$223&amp;"Por favor no seleccionar los criterios de impacto(Afectación Económica o presupuestal y Pérdida Reputacional)",L15)</f>
        <v xml:space="preserve">     Afectación menor a 10 SMLMV .</v>
      </c>
      <c r="N15" s="200" t="str">
        <f>IF(OR(M15='Tabla Impacto'!$C$11,M15='Tabla Impacto'!$D$11),"Leve",IF(OR(M15='Tabla Impacto'!$C$12,M15='Tabla Impacto'!$D$12),"Menor",IF(OR(M15='Tabla Impacto'!$C$13,M15='Tabla Impacto'!$D$13),"Moderado",IF(OR(M15='Tabla Impacto'!$C$14,M15='Tabla Impacto'!$D$14),"Mayor",IF(OR(M15='Tabla Impacto'!$C$15,M15='Tabla Impacto'!$D$15),"Catastrófico","")))))</f>
        <v>Leve</v>
      </c>
      <c r="O15" s="201">
        <f>IF(N15="","",IF(N15="Leve",0.2,IF(N15="Menor",0.4,IF(N15="Moderado",0.6,IF(N15="Mayor",0.8,IF(N15="Catastrófico",1,))))))</f>
        <v>0.2</v>
      </c>
      <c r="P15" s="202" t="str">
        <f>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Moderado</v>
      </c>
      <c r="Q15" s="113">
        <v>1</v>
      </c>
      <c r="R15" s="114"/>
      <c r="S15" s="115" t="str">
        <f>IF(OR(T15="Preventivo",T15="Detectivo"),"Probabilidad",IF(T15="Correctivo","Impacto",""))</f>
        <v>Probabilidad</v>
      </c>
      <c r="T15" s="116" t="s">
        <v>14</v>
      </c>
      <c r="U15" s="116" t="s">
        <v>8</v>
      </c>
      <c r="V15" s="117" t="str">
        <f>IF(AND(T15="Preventivo",U15="Automático"),"50%",IF(AND(T15="Preventivo",U15="Manual"),"40%",IF(AND(T15="Detectivo",U15="Automático"),"40%",IF(AND(T15="Detectivo",U15="Manual"),"30%",IF(AND(T15="Correctivo",U15="Automático"),"35%",IF(AND(T15="Correctivo",U15="Manual"),"25%",""))))))</f>
        <v>30%</v>
      </c>
      <c r="W15" s="116" t="s">
        <v>18</v>
      </c>
      <c r="X15" s="116" t="s">
        <v>21</v>
      </c>
      <c r="Y15" s="116" t="s">
        <v>116</v>
      </c>
      <c r="Z15" s="118">
        <f>IFERROR(IF(S15="Probabilidad",(K15-(+K15*V15)),IF(S15="Impacto",K15,"")),"")</f>
        <v>0.42</v>
      </c>
      <c r="AA15" s="119" t="str">
        <f>IFERROR(IF(Z15="","",IF(Z15&lt;=0.2,"Muy Baja",IF(Z15&lt;=0.4,"Baja",IF(Z15&lt;=0.6,"Media",IF(Z15&lt;=0.8,"Alta","Muy Alta"))))),"")</f>
        <v>Media</v>
      </c>
      <c r="AB15" s="117">
        <f>+Z15</f>
        <v>0.42</v>
      </c>
      <c r="AC15" s="119" t="str">
        <f>IFERROR(IF(AD15="","",IF(AD15&lt;=0.2,"Leve",IF(AD15&lt;=0.4,"Menor",IF(AD15&lt;=0.6,"Moderado",IF(AD15&lt;=0.8,"Mayor","Catastrófico"))))),"")</f>
        <v>Leve</v>
      </c>
      <c r="AD15" s="117">
        <f>IFERROR(IF(S15="Impacto",(O15-(+O15*V15)),IF(S15="Probabilidad",O15,"")),"")</f>
        <v>0.2</v>
      </c>
      <c r="AE15" s="120"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21"/>
      <c r="AH15" s="149"/>
      <c r="AI15" s="123">
        <v>44423</v>
      </c>
      <c r="AJ15" s="123" t="s">
        <v>213</v>
      </c>
      <c r="AK15" s="121"/>
      <c r="AL15" s="122"/>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14.45" customHeight="1" x14ac:dyDescent="0.3">
      <c r="A16" s="211"/>
      <c r="B16" s="225"/>
      <c r="C16" s="228"/>
      <c r="D16" s="212"/>
      <c r="E16" s="204"/>
      <c r="F16" s="204"/>
      <c r="G16" s="212"/>
      <c r="H16" s="206"/>
      <c r="I16" s="213"/>
      <c r="J16" s="200"/>
      <c r="K16" s="201"/>
      <c r="L16" s="203"/>
      <c r="M16" s="201">
        <f>IF(NOT(ISERROR(MATCH(L16,_xlfn.ANCHORARRAY(E27),0))),K29&amp;"Por favor no seleccionar los criterios de impacto",L16)</f>
        <v>0</v>
      </c>
      <c r="N16" s="200"/>
      <c r="O16" s="201"/>
      <c r="P16" s="202"/>
      <c r="Q16" s="113">
        <v>2</v>
      </c>
      <c r="R16" s="114"/>
      <c r="S16" s="115" t="str">
        <f>IF(OR(T16="Preventivo",T16="Detectivo"),"Probabilidad",IF(T16="Correctivo","Impacto",""))</f>
        <v/>
      </c>
      <c r="T16" s="116"/>
      <c r="U16" s="116"/>
      <c r="V16" s="117" t="str">
        <f t="shared" ref="V16:V20" si="9">IF(AND(T16="Preventivo",U16="Automático"),"50%",IF(AND(T16="Preventivo",U16="Manual"),"40%",IF(AND(T16="Detectivo",U16="Automático"),"40%",IF(AND(T16="Detectivo",U16="Manual"),"30%",IF(AND(T16="Correctivo",U16="Automático"),"35%",IF(AND(T16="Correctivo",U16="Manual"),"25%",""))))))</f>
        <v/>
      </c>
      <c r="W16" s="116"/>
      <c r="X16" s="116"/>
      <c r="Y16" s="116"/>
      <c r="Z16" s="118" t="str">
        <f>IFERROR(IF(AND(S15="Probabilidad",S16="Probabilidad"),(AB15-(+AB15*V16)),IF(S16="Probabilidad",(K15-(+K15*V16)),IF(S16="Impacto",AB15,""))),"")</f>
        <v/>
      </c>
      <c r="AA16" s="119" t="str">
        <f t="shared" si="0"/>
        <v/>
      </c>
      <c r="AB16" s="117" t="str">
        <f t="shared" ref="AB16:AB20" si="10">+Z16</f>
        <v/>
      </c>
      <c r="AC16" s="119" t="str">
        <f t="shared" si="2"/>
        <v/>
      </c>
      <c r="AD16" s="117" t="str">
        <f>IFERROR(IF(AND(S15="Impacto",S16="Impacto"),(AD9-(+AD9*V16)),IF(S16="Impacto",($O$15-(+$O$15*V16)),IF(S16="Probabilidad",AD9,""))),"")</f>
        <v/>
      </c>
      <c r="AE16" s="120" t="str">
        <f t="shared" ref="AE16:AE17" si="11">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
      </c>
      <c r="AF16" s="116"/>
      <c r="AG16" s="121"/>
      <c r="AH16" s="122"/>
      <c r="AI16" s="123"/>
      <c r="AJ16" s="123"/>
      <c r="AK16" s="121"/>
      <c r="AL16" s="122"/>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14.45" customHeight="1" x14ac:dyDescent="0.3">
      <c r="A17" s="211"/>
      <c r="B17" s="225"/>
      <c r="C17" s="228"/>
      <c r="D17" s="212"/>
      <c r="E17" s="204"/>
      <c r="F17" s="204"/>
      <c r="G17" s="212"/>
      <c r="H17" s="206"/>
      <c r="I17" s="213"/>
      <c r="J17" s="200"/>
      <c r="K17" s="201"/>
      <c r="L17" s="203"/>
      <c r="M17" s="201">
        <f>IF(NOT(ISERROR(MATCH(L17,_xlfn.ANCHORARRAY(E28),0))),K30&amp;"Por favor no seleccionar los criterios de impacto",L17)</f>
        <v>0</v>
      </c>
      <c r="N17" s="200"/>
      <c r="O17" s="201"/>
      <c r="P17" s="202"/>
      <c r="Q17" s="113">
        <v>3</v>
      </c>
      <c r="R17" s="126"/>
      <c r="S17" s="115" t="str">
        <f>IF(OR(T17="Preventivo",T17="Detectivo"),"Probabilidad",IF(T17="Correctivo","Impacto",""))</f>
        <v/>
      </c>
      <c r="T17" s="116"/>
      <c r="U17" s="116"/>
      <c r="V17" s="117" t="str">
        <f t="shared" si="9"/>
        <v/>
      </c>
      <c r="W17" s="116"/>
      <c r="X17" s="116"/>
      <c r="Y17" s="116"/>
      <c r="Z17" s="118" t="str">
        <f>IFERROR(IF(AND(S16="Probabilidad",S17="Probabilidad"),(AB16-(+AB16*V17)),IF(AND(S16="Impacto",S17="Probabilidad"),(AB15-(+AB15*V17)),IF(S17="Impacto",AB16,""))),"")</f>
        <v/>
      </c>
      <c r="AA17" s="119" t="str">
        <f t="shared" si="0"/>
        <v/>
      </c>
      <c r="AB17" s="117" t="str">
        <f t="shared" si="10"/>
        <v/>
      </c>
      <c r="AC17" s="119" t="str">
        <f t="shared" si="2"/>
        <v/>
      </c>
      <c r="AD17" s="117" t="str">
        <f>IFERROR(IF(AND(S16="Impacto",S17="Impacto"),(AD16-(+AD16*V17)),IF(AND(S16="Probabilidad",S17="Impacto"),(AD15-(+AD15*V17)),IF(S17="Probabilidad",AD16,""))),"")</f>
        <v/>
      </c>
      <c r="AE17" s="120" t="str">
        <f t="shared" si="11"/>
        <v/>
      </c>
      <c r="AF17" s="116"/>
      <c r="AG17" s="121"/>
      <c r="AH17" s="122"/>
      <c r="AI17" s="123"/>
      <c r="AJ17" s="123"/>
      <c r="AK17" s="121"/>
      <c r="AL17" s="122"/>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11"/>
      <c r="B18" s="225"/>
      <c r="C18" s="228"/>
      <c r="D18" s="212"/>
      <c r="E18" s="204"/>
      <c r="F18" s="204"/>
      <c r="G18" s="212"/>
      <c r="H18" s="206"/>
      <c r="I18" s="213"/>
      <c r="J18" s="200"/>
      <c r="K18" s="201"/>
      <c r="L18" s="203"/>
      <c r="M18" s="201">
        <f>IF(NOT(ISERROR(MATCH(L18,_xlfn.ANCHORARRAY(E29),0))),K31&amp;"Por favor no seleccionar los criterios de impacto",L18)</f>
        <v>0</v>
      </c>
      <c r="N18" s="200"/>
      <c r="O18" s="201"/>
      <c r="P18" s="202"/>
      <c r="Q18" s="113">
        <v>4</v>
      </c>
      <c r="R18" s="114"/>
      <c r="S18" s="115" t="str">
        <f t="shared" ref="S18:S20" si="12">IF(OR(T18="Preventivo",T18="Detectivo"),"Probabilidad",IF(T18="Correctivo","Impacto",""))</f>
        <v/>
      </c>
      <c r="T18" s="116"/>
      <c r="U18" s="116"/>
      <c r="V18" s="117" t="str">
        <f t="shared" si="9"/>
        <v/>
      </c>
      <c r="W18" s="116"/>
      <c r="X18" s="116"/>
      <c r="Y18" s="116"/>
      <c r="Z18" s="118" t="str">
        <f t="shared" ref="Z18:Z20" si="13">IFERROR(IF(AND(S17="Probabilidad",S18="Probabilidad"),(AB17-(+AB17*V18)),IF(AND(S17="Impacto",S18="Probabilidad"),(AB16-(+AB16*V18)),IF(S18="Impacto",AB17,""))),"")</f>
        <v/>
      </c>
      <c r="AA18" s="119" t="str">
        <f t="shared" si="0"/>
        <v/>
      </c>
      <c r="AB18" s="117" t="str">
        <f t="shared" si="10"/>
        <v/>
      </c>
      <c r="AC18" s="119" t="str">
        <f t="shared" si="2"/>
        <v/>
      </c>
      <c r="AD18" s="117" t="str">
        <f t="shared" ref="AD18:AD20" si="14">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14.45" customHeight="1" x14ac:dyDescent="0.3">
      <c r="A19" s="211"/>
      <c r="B19" s="225"/>
      <c r="C19" s="228"/>
      <c r="D19" s="212"/>
      <c r="E19" s="204"/>
      <c r="F19" s="204"/>
      <c r="G19" s="212"/>
      <c r="H19" s="206"/>
      <c r="I19" s="213"/>
      <c r="J19" s="200"/>
      <c r="K19" s="201"/>
      <c r="L19" s="203"/>
      <c r="M19" s="201">
        <f>IF(NOT(ISERROR(MATCH(L19,_xlfn.ANCHORARRAY(E30),0))),K32&amp;"Por favor no seleccionar los criterios de impacto",L19)</f>
        <v>0</v>
      </c>
      <c r="N19" s="200"/>
      <c r="O19" s="201"/>
      <c r="P19" s="202"/>
      <c r="Q19" s="113">
        <v>5</v>
      </c>
      <c r="R19" s="114"/>
      <c r="S19" s="115" t="str">
        <f t="shared" si="12"/>
        <v/>
      </c>
      <c r="T19" s="116"/>
      <c r="U19" s="116"/>
      <c r="V19" s="117" t="str">
        <f t="shared" si="9"/>
        <v/>
      </c>
      <c r="W19" s="116"/>
      <c r="X19" s="116"/>
      <c r="Y19" s="116"/>
      <c r="Z19" s="118" t="str">
        <f t="shared" si="13"/>
        <v/>
      </c>
      <c r="AA19" s="119" t="str">
        <f t="shared" si="0"/>
        <v/>
      </c>
      <c r="AB19" s="117" t="str">
        <f t="shared" si="10"/>
        <v/>
      </c>
      <c r="AC19" s="119" t="str">
        <f t="shared" si="2"/>
        <v/>
      </c>
      <c r="AD19" s="117" t="str">
        <f t="shared" si="14"/>
        <v/>
      </c>
      <c r="AE19" s="120" t="str">
        <f t="shared" ref="AE19:AE20" si="15">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65.25" customHeight="1" x14ac:dyDescent="0.3">
      <c r="A20" s="211"/>
      <c r="B20" s="226"/>
      <c r="C20" s="229"/>
      <c r="D20" s="212"/>
      <c r="E20" s="204"/>
      <c r="F20" s="204"/>
      <c r="G20" s="212"/>
      <c r="H20" s="207"/>
      <c r="I20" s="213"/>
      <c r="J20" s="200"/>
      <c r="K20" s="201"/>
      <c r="L20" s="203"/>
      <c r="M20" s="201">
        <f>IF(NOT(ISERROR(MATCH(L20,_xlfn.ANCHORARRAY(E31),0))),K33&amp;"Por favor no seleccionar los criterios de impacto",L20)</f>
        <v>0</v>
      </c>
      <c r="N20" s="200"/>
      <c r="O20" s="201"/>
      <c r="P20" s="202"/>
      <c r="Q20" s="113">
        <v>6</v>
      </c>
      <c r="R20" s="114"/>
      <c r="S20" s="115" t="str">
        <f t="shared" si="12"/>
        <v/>
      </c>
      <c r="T20" s="116"/>
      <c r="U20" s="116"/>
      <c r="V20" s="117" t="str">
        <f t="shared" si="9"/>
        <v/>
      </c>
      <c r="W20" s="116"/>
      <c r="X20" s="116"/>
      <c r="Y20" s="116"/>
      <c r="Z20" s="118" t="str">
        <f t="shared" si="13"/>
        <v/>
      </c>
      <c r="AA20" s="119" t="str">
        <f t="shared" si="0"/>
        <v/>
      </c>
      <c r="AB20" s="117" t="str">
        <f t="shared" si="10"/>
        <v/>
      </c>
      <c r="AC20" s="119" t="str">
        <f t="shared" si="2"/>
        <v/>
      </c>
      <c r="AD20" s="117" t="str">
        <f t="shared" si="14"/>
        <v/>
      </c>
      <c r="AE20" s="120" t="str">
        <f t="shared" si="15"/>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x14ac:dyDescent="0.3">
      <c r="A21" s="211">
        <v>3</v>
      </c>
      <c r="B21" s="215"/>
      <c r="C21" s="215"/>
      <c r="D21" s="212"/>
      <c r="E21" s="204"/>
      <c r="F21" s="208"/>
      <c r="G21" s="212"/>
      <c r="H21" s="205"/>
      <c r="I21" s="213"/>
      <c r="J21" s="200" t="str">
        <f>IF(I21&lt;=0,"",IF(I21&lt;=2,"Muy Baja",IF(I21&lt;=24,"Baja",IF(I21&lt;=500,"Media",IF(I21&lt;=5000,"Alta","Muy Alta")))))</f>
        <v/>
      </c>
      <c r="K21" s="201" t="str">
        <f>IF(J21="","",IF(J21="Muy Baja",0.2,IF(J21="Baja",0.4,IF(J21="Media",0.6,IF(J21="Alta",0.8,IF(J21="Muy Alta",1,))))))</f>
        <v/>
      </c>
      <c r="L21" s="203"/>
      <c r="M21" s="201">
        <f>IF(NOT(ISERROR(MATCH(L21,'Tabla Impacto'!$B$221:$B$223,0))),'Tabla Impacto'!$F$223&amp;"Por favor no seleccionar los criterios de impacto(Afectación Económica o presupuestal y Pérdida Reputacional)",L21)</f>
        <v>0</v>
      </c>
      <c r="N21" s="200" t="str">
        <f>IF(OR(M21='Tabla Impacto'!$C$11,M21='Tabla Impacto'!$D$11),"Leve",IF(OR(M21='Tabla Impacto'!$C$12,M21='Tabla Impacto'!$D$12),"Menor",IF(OR(M21='Tabla Impacto'!$C$13,M21='Tabla Impacto'!$D$13),"Moderado",IF(OR(M21='Tabla Impacto'!$C$14,M21='Tabla Impacto'!$D$14),"Mayor",IF(OR(M21='Tabla Impacto'!$C$15,M21='Tabla Impacto'!$D$15),"Catastrófico","")))))</f>
        <v/>
      </c>
      <c r="O21" s="201" t="str">
        <f>IF(N21="","",IF(N21="Leve",0.2,IF(N21="Menor",0.4,IF(N21="Moderado",0.6,IF(N21="Mayor",0.8,IF(N21="Catastrófico",1,))))))</f>
        <v/>
      </c>
      <c r="P21" s="202" t="str">
        <f>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
      </c>
      <c r="Q21" s="113">
        <v>1</v>
      </c>
      <c r="R21" s="114"/>
      <c r="S21" s="115" t="str">
        <f>IF(OR(T21="Preventivo",T21="Detectivo"),"Probabilidad",IF(T21="Correctivo","Impacto",""))</f>
        <v/>
      </c>
      <c r="T21" s="116"/>
      <c r="U21" s="116"/>
      <c r="V21" s="117" t="str">
        <f>IF(AND(T21="Preventivo",U21="Automático"),"50%",IF(AND(T21="Preventivo",U21="Manual"),"40%",IF(AND(T21="Detectivo",U21="Automático"),"40%",IF(AND(T21="Detectivo",U21="Manual"),"30%",IF(AND(T21="Correctivo",U21="Automático"),"35%",IF(AND(T21="Correctivo",U21="Manual"),"25%",""))))))</f>
        <v/>
      </c>
      <c r="W21" s="116"/>
      <c r="X21" s="116"/>
      <c r="Y21" s="116"/>
      <c r="Z21" s="118" t="str">
        <f>IFERROR(IF(S21="Probabilidad",(K21-(+K21*V21)),IF(S21="Impacto",K21,"")),"")</f>
        <v/>
      </c>
      <c r="AA21" s="119" t="str">
        <f>IFERROR(IF(Z21="","",IF(Z21&lt;=0.2,"Muy Baja",IF(Z21&lt;=0.4,"Baja",IF(Z21&lt;=0.6,"Media",IF(Z21&lt;=0.8,"Alta","Muy Alta"))))),"")</f>
        <v/>
      </c>
      <c r="AB21" s="117" t="str">
        <f>+Z21</f>
        <v/>
      </c>
      <c r="AC21" s="119" t="str">
        <f>IFERROR(IF(AD21="","",IF(AD21&lt;=0.2,"Leve",IF(AD21&lt;=0.4,"Menor",IF(AD21&lt;=0.6,"Moderado",IF(AD21&lt;=0.8,"Mayor","Catastrófico"))))),"")</f>
        <v/>
      </c>
      <c r="AD21" s="117" t="str">
        <f>IFERROR(IF(S21="Impacto",(O21-(+O21*V21)),IF(S21="Probabilidad",O21,"")),"")</f>
        <v/>
      </c>
      <c r="AE21" s="120"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
      </c>
      <c r="AF21" s="116"/>
      <c r="AG21" s="121"/>
      <c r="AH21" s="122"/>
      <c r="AI21" s="123"/>
      <c r="AJ21" s="123"/>
      <c r="AK21" s="121"/>
      <c r="AL21" s="122"/>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4.45" customHeight="1" x14ac:dyDescent="0.3">
      <c r="A22" s="211"/>
      <c r="B22" s="216"/>
      <c r="C22" s="216"/>
      <c r="D22" s="212"/>
      <c r="E22" s="204"/>
      <c r="F22" s="209"/>
      <c r="G22" s="212"/>
      <c r="H22" s="206"/>
      <c r="I22" s="213"/>
      <c r="J22" s="200"/>
      <c r="K22" s="201"/>
      <c r="L22" s="203"/>
      <c r="M22" s="201">
        <f t="shared" ref="M22:M26" si="16">IF(NOT(ISERROR(MATCH(L22,_xlfn.ANCHORARRAY(E33),0))),K35&amp;"Por favor no seleccionar los criterios de impacto",L22)</f>
        <v>0</v>
      </c>
      <c r="N22" s="200"/>
      <c r="O22" s="201"/>
      <c r="P22" s="202"/>
      <c r="Q22" s="113">
        <v>2</v>
      </c>
      <c r="R22" s="114"/>
      <c r="S22" s="115" t="str">
        <f>IF(OR(T22="Preventivo",T22="Detectivo"),"Probabilidad",IF(T22="Correctivo","Impacto",""))</f>
        <v/>
      </c>
      <c r="T22" s="116"/>
      <c r="U22" s="116"/>
      <c r="V22" s="117" t="str">
        <f t="shared" ref="V22:V26" si="17">IF(AND(T22="Preventivo",U22="Automático"),"50%",IF(AND(T22="Preventivo",U22="Manual"),"40%",IF(AND(T22="Detectivo",U22="Automático"),"40%",IF(AND(T22="Detectivo",U22="Manual"),"30%",IF(AND(T22="Correctivo",U22="Automático"),"35%",IF(AND(T22="Correctivo",U22="Manual"),"25%",""))))))</f>
        <v/>
      </c>
      <c r="W22" s="116"/>
      <c r="X22" s="116"/>
      <c r="Y22" s="116"/>
      <c r="Z22" s="127" t="str">
        <f>IFERROR(IF(AND(S21="Probabilidad",S22="Probabilidad"),(AB21-(+AB21*V22)),IF(S22="Probabilidad",(K21-(+K21*V22)),IF(S22="Impacto",AB21,""))),"")</f>
        <v/>
      </c>
      <c r="AA22" s="119" t="str">
        <f t="shared" si="0"/>
        <v/>
      </c>
      <c r="AB22" s="117" t="str">
        <f t="shared" ref="AB22:AB26" si="18">+Z22</f>
        <v/>
      </c>
      <c r="AC22" s="119" t="str">
        <f t="shared" si="2"/>
        <v/>
      </c>
      <c r="AD22" s="117" t="str">
        <f>IFERROR(IF(AND(S21="Impacto",S22="Impacto"),(AD15-(+AD15*V22)),IF(S22="Impacto",($O$21-(+$O$21*V22)),IF(S22="Probabilidad",AD15,""))),"")</f>
        <v/>
      </c>
      <c r="AE22" s="120" t="str">
        <f t="shared" ref="AE22:AE23" si="19">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
      </c>
      <c r="AF22" s="116"/>
      <c r="AG22" s="121"/>
      <c r="AH22" s="122"/>
      <c r="AI22" s="123"/>
      <c r="AJ22" s="123"/>
      <c r="AK22" s="121"/>
      <c r="AL22" s="122"/>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14.45" customHeight="1" x14ac:dyDescent="0.3">
      <c r="A23" s="211"/>
      <c r="B23" s="216"/>
      <c r="C23" s="216"/>
      <c r="D23" s="212"/>
      <c r="E23" s="204"/>
      <c r="F23" s="209"/>
      <c r="G23" s="212"/>
      <c r="H23" s="206"/>
      <c r="I23" s="213"/>
      <c r="J23" s="200"/>
      <c r="K23" s="201"/>
      <c r="L23" s="203"/>
      <c r="M23" s="201">
        <f t="shared" si="16"/>
        <v>0</v>
      </c>
      <c r="N23" s="200"/>
      <c r="O23" s="201"/>
      <c r="P23" s="202"/>
      <c r="Q23" s="113">
        <v>3</v>
      </c>
      <c r="R23" s="126"/>
      <c r="S23" s="115" t="str">
        <f>IF(OR(T23="Preventivo",T23="Detectivo"),"Probabilidad",IF(T23="Correctivo","Impacto",""))</f>
        <v/>
      </c>
      <c r="T23" s="116"/>
      <c r="U23" s="116"/>
      <c r="V23" s="117" t="str">
        <f t="shared" si="17"/>
        <v/>
      </c>
      <c r="W23" s="116"/>
      <c r="X23" s="116"/>
      <c r="Y23" s="116"/>
      <c r="Z23" s="118" t="str">
        <f>IFERROR(IF(AND(S22="Probabilidad",S23="Probabilidad"),(AB22-(+AB22*V23)),IF(AND(S22="Impacto",S23="Probabilidad"),(AB21-(+AB21*V23)),IF(S23="Impacto",AB22,""))),"")</f>
        <v/>
      </c>
      <c r="AA23" s="119" t="str">
        <f t="shared" si="0"/>
        <v/>
      </c>
      <c r="AB23" s="117" t="str">
        <f t="shared" si="18"/>
        <v/>
      </c>
      <c r="AC23" s="119" t="str">
        <f t="shared" si="2"/>
        <v/>
      </c>
      <c r="AD23" s="117" t="str">
        <f>IFERROR(IF(AND(S22="Impacto",S23="Impacto"),(AD22-(+AD22*V23)),IF(AND(S22="Probabilidad",S23="Impacto"),(AD21-(+AD21*V23)),IF(S23="Probabilidad",AD22,""))),"")</f>
        <v/>
      </c>
      <c r="AE23" s="120" t="str">
        <f t="shared" si="19"/>
        <v/>
      </c>
      <c r="AF23" s="116"/>
      <c r="AG23" s="121"/>
      <c r="AH23" s="122"/>
      <c r="AI23" s="123"/>
      <c r="AJ23" s="123"/>
      <c r="AK23" s="121"/>
      <c r="AL23" s="122"/>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11"/>
      <c r="B24" s="216"/>
      <c r="C24" s="216"/>
      <c r="D24" s="212"/>
      <c r="E24" s="204"/>
      <c r="F24" s="209"/>
      <c r="G24" s="212"/>
      <c r="H24" s="206"/>
      <c r="I24" s="213"/>
      <c r="J24" s="200"/>
      <c r="K24" s="201"/>
      <c r="L24" s="203"/>
      <c r="M24" s="201">
        <f t="shared" si="16"/>
        <v>0</v>
      </c>
      <c r="N24" s="200"/>
      <c r="O24" s="201"/>
      <c r="P24" s="202"/>
      <c r="Q24" s="113">
        <v>4</v>
      </c>
      <c r="R24" s="114"/>
      <c r="S24" s="115" t="str">
        <f t="shared" ref="S24:S26" si="20">IF(OR(T24="Preventivo",T24="Detectivo"),"Probabilidad",IF(T24="Correctivo","Impacto",""))</f>
        <v/>
      </c>
      <c r="T24" s="116"/>
      <c r="U24" s="116"/>
      <c r="V24" s="117" t="str">
        <f t="shared" si="17"/>
        <v/>
      </c>
      <c r="W24" s="116"/>
      <c r="X24" s="116"/>
      <c r="Y24" s="116"/>
      <c r="Z24" s="118" t="str">
        <f t="shared" ref="Z24:Z26" si="21">IFERROR(IF(AND(S23="Probabilidad",S24="Probabilidad"),(AB23-(+AB23*V24)),IF(AND(S23="Impacto",S24="Probabilidad"),(AB22-(+AB22*V24)),IF(S24="Impacto",AB23,""))),"")</f>
        <v/>
      </c>
      <c r="AA24" s="119" t="str">
        <f t="shared" si="0"/>
        <v/>
      </c>
      <c r="AB24" s="117" t="str">
        <f t="shared" si="18"/>
        <v/>
      </c>
      <c r="AC24" s="119" t="str">
        <f t="shared" si="2"/>
        <v/>
      </c>
      <c r="AD24" s="117" t="str">
        <f t="shared" ref="AD24:AD26" si="22">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4.45" customHeight="1" x14ac:dyDescent="0.3">
      <c r="A25" s="211"/>
      <c r="B25" s="216"/>
      <c r="C25" s="216"/>
      <c r="D25" s="212"/>
      <c r="E25" s="204"/>
      <c r="F25" s="209"/>
      <c r="G25" s="212"/>
      <c r="H25" s="206"/>
      <c r="I25" s="213"/>
      <c r="J25" s="200"/>
      <c r="K25" s="201"/>
      <c r="L25" s="203"/>
      <c r="M25" s="201">
        <f t="shared" si="16"/>
        <v>0</v>
      </c>
      <c r="N25" s="200"/>
      <c r="O25" s="201"/>
      <c r="P25" s="202"/>
      <c r="Q25" s="113">
        <v>5</v>
      </c>
      <c r="R25" s="114"/>
      <c r="S25" s="115" t="str">
        <f t="shared" si="20"/>
        <v/>
      </c>
      <c r="T25" s="116"/>
      <c r="U25" s="116"/>
      <c r="V25" s="117" t="str">
        <f t="shared" si="17"/>
        <v/>
      </c>
      <c r="W25" s="116"/>
      <c r="X25" s="116"/>
      <c r="Y25" s="116"/>
      <c r="Z25" s="118" t="str">
        <f t="shared" si="21"/>
        <v/>
      </c>
      <c r="AA25" s="119" t="str">
        <f t="shared" si="0"/>
        <v/>
      </c>
      <c r="AB25" s="117" t="str">
        <f t="shared" si="18"/>
        <v/>
      </c>
      <c r="AC25" s="119" t="str">
        <f t="shared" si="2"/>
        <v/>
      </c>
      <c r="AD25" s="117" t="str">
        <f t="shared" si="22"/>
        <v/>
      </c>
      <c r="AE25" s="120" t="str">
        <f t="shared" ref="AE25:AE26" si="23">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4.45" customHeight="1" x14ac:dyDescent="0.3">
      <c r="A26" s="211"/>
      <c r="B26" s="217"/>
      <c r="C26" s="217"/>
      <c r="D26" s="212"/>
      <c r="E26" s="204"/>
      <c r="F26" s="210"/>
      <c r="G26" s="212"/>
      <c r="H26" s="207"/>
      <c r="I26" s="213"/>
      <c r="J26" s="200"/>
      <c r="K26" s="201"/>
      <c r="L26" s="203"/>
      <c r="M26" s="201">
        <f t="shared" si="16"/>
        <v>0</v>
      </c>
      <c r="N26" s="200"/>
      <c r="O26" s="201"/>
      <c r="P26" s="202"/>
      <c r="Q26" s="113">
        <v>6</v>
      </c>
      <c r="R26" s="114"/>
      <c r="S26" s="115" t="str">
        <f t="shared" si="20"/>
        <v/>
      </c>
      <c r="T26" s="116"/>
      <c r="U26" s="116"/>
      <c r="V26" s="117" t="str">
        <f t="shared" si="17"/>
        <v/>
      </c>
      <c r="W26" s="116"/>
      <c r="X26" s="116"/>
      <c r="Y26" s="116"/>
      <c r="Z26" s="118" t="str">
        <f t="shared" si="21"/>
        <v/>
      </c>
      <c r="AA26" s="119" t="str">
        <f t="shared" si="0"/>
        <v/>
      </c>
      <c r="AB26" s="117" t="str">
        <f t="shared" si="18"/>
        <v/>
      </c>
      <c r="AC26" s="119" t="str">
        <f t="shared" si="2"/>
        <v/>
      </c>
      <c r="AD26" s="117" t="str">
        <f t="shared" si="22"/>
        <v/>
      </c>
      <c r="AE26" s="120" t="str">
        <f t="shared" si="23"/>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x14ac:dyDescent="0.3">
      <c r="A27" s="211">
        <v>4</v>
      </c>
      <c r="B27" s="215"/>
      <c r="C27" s="215"/>
      <c r="D27" s="212"/>
      <c r="E27" s="204"/>
      <c r="F27" s="208"/>
      <c r="G27" s="212"/>
      <c r="H27" s="205" t="s">
        <v>211</v>
      </c>
      <c r="I27" s="213"/>
      <c r="J27" s="200" t="str">
        <f>IF(I27&lt;=0,"",IF(I27&lt;=2,"Muy Baja",IF(I27&lt;=24,"Baja",IF(I27&lt;=500,"Media",IF(I27&lt;=5000,"Alta","Muy Alta")))))</f>
        <v/>
      </c>
      <c r="K27" s="201" t="str">
        <f>IF(J27="","",IF(J27="Muy Baja",0.2,IF(J27="Baja",0.4,IF(J27="Media",0.6,IF(J27="Alta",0.8,IF(J27="Muy Alta",1,))))))</f>
        <v/>
      </c>
      <c r="L27" s="203"/>
      <c r="M27" s="201">
        <f>IF(NOT(ISERROR(MATCH(L27,'Tabla Impacto'!$B$221:$B$223,0))),'Tabla Impacto'!$F$223&amp;"Por favor no seleccionar los criterios de impacto(Afectación Económica o presupuestal y Pérdida Reputacional)",L27)</f>
        <v>0</v>
      </c>
      <c r="N27" s="200" t="str">
        <f>IF(OR(M27='Tabla Impacto'!$C$11,M27='Tabla Impacto'!$D$11),"Leve",IF(OR(M27='Tabla Impacto'!$C$12,M27='Tabla Impacto'!$D$12),"Menor",IF(OR(M27='Tabla Impacto'!$C$13,M27='Tabla Impacto'!$D$13),"Moderado",IF(OR(M27='Tabla Impacto'!$C$14,M27='Tabla Impacto'!$D$14),"Mayor",IF(OR(M27='Tabla Impacto'!$C$15,M27='Tabla Impacto'!$D$15),"Catastrófico","")))))</f>
        <v/>
      </c>
      <c r="O27" s="201" t="str">
        <f>IF(N27="","",IF(N27="Leve",0.2,IF(N27="Menor",0.4,IF(N27="Moderado",0.6,IF(N27="Mayor",0.8,IF(N27="Catastrófico",1,))))))</f>
        <v/>
      </c>
      <c r="P27" s="202" t="str">
        <f>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
      </c>
      <c r="Q27" s="113">
        <v>1</v>
      </c>
      <c r="R27" s="114"/>
      <c r="S27" s="115" t="str">
        <f>IF(OR(T27="Preventivo",T27="Detectivo"),"Probabilidad",IF(T27="Correctivo","Impacto",""))</f>
        <v/>
      </c>
      <c r="T27" s="116"/>
      <c r="U27" s="116"/>
      <c r="V27" s="117" t="str">
        <f>IF(AND(T27="Preventivo",U27="Automático"),"50%",IF(AND(T27="Preventivo",U27="Manual"),"40%",IF(AND(T27="Detectivo",U27="Automático"),"40%",IF(AND(T27="Detectivo",U27="Manual"),"30%",IF(AND(T27="Correctivo",U27="Automático"),"35%",IF(AND(T27="Correctivo",U27="Manual"),"25%",""))))))</f>
        <v/>
      </c>
      <c r="W27" s="116"/>
      <c r="X27" s="116"/>
      <c r="Y27" s="116"/>
      <c r="Z27" s="118" t="str">
        <f>IFERROR(IF(S27="Probabilidad",(K27-(+K27*V27)),IF(S27="Impacto",K27,"")),"")</f>
        <v/>
      </c>
      <c r="AA27" s="119" t="str">
        <f>IFERROR(IF(Z27="","",IF(Z27&lt;=0.2,"Muy Baja",IF(Z27&lt;=0.4,"Baja",IF(Z27&lt;=0.6,"Media",IF(Z27&lt;=0.8,"Alta","Muy Alta"))))),"")</f>
        <v/>
      </c>
      <c r="AB27" s="117" t="str">
        <f>+Z27</f>
        <v/>
      </c>
      <c r="AC27" s="119" t="str">
        <f>IFERROR(IF(AD27="","",IF(AD27&lt;=0.2,"Leve",IF(AD27&lt;=0.4,"Menor",IF(AD27&lt;=0.6,"Moderado",IF(AD27&lt;=0.8,"Mayor","Catastrófico"))))),"")</f>
        <v/>
      </c>
      <c r="AD27" s="117" t="str">
        <f>IFERROR(IF(S27="Impacto",(O27-(+O27*V27)),IF(S27="Probabilidad",O27,"")),"")</f>
        <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
      </c>
      <c r="AF27" s="116"/>
      <c r="AG27" s="121"/>
      <c r="AH27" s="122"/>
      <c r="AI27" s="123"/>
      <c r="AJ27" s="123"/>
      <c r="AK27" s="121"/>
      <c r="AL27" s="122"/>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14.45" customHeight="1" x14ac:dyDescent="0.3">
      <c r="A28" s="211"/>
      <c r="B28" s="216"/>
      <c r="C28" s="216"/>
      <c r="D28" s="212"/>
      <c r="E28" s="204"/>
      <c r="F28" s="209"/>
      <c r="G28" s="212"/>
      <c r="H28" s="206"/>
      <c r="I28" s="213"/>
      <c r="J28" s="200"/>
      <c r="K28" s="201"/>
      <c r="L28" s="203"/>
      <c r="M28" s="201">
        <f t="shared" ref="M28:M32" si="24">IF(NOT(ISERROR(MATCH(L28,_xlfn.ANCHORARRAY(E39),0))),K41&amp;"Por favor no seleccionar los criterios de impacto",L28)</f>
        <v>0</v>
      </c>
      <c r="N28" s="200"/>
      <c r="O28" s="201"/>
      <c r="P28" s="202"/>
      <c r="Q28" s="113">
        <v>2</v>
      </c>
      <c r="R28" s="114"/>
      <c r="S28" s="115" t="str">
        <f>IF(OR(T28="Preventivo",T28="Detectivo"),"Probabilidad",IF(T28="Correctivo","Impacto",""))</f>
        <v/>
      </c>
      <c r="T28" s="116"/>
      <c r="U28" s="116"/>
      <c r="V28" s="117" t="str">
        <f t="shared" ref="V28:V32" si="25">IF(AND(T28="Preventivo",U28="Automático"),"50%",IF(AND(T28="Preventivo",U28="Manual"),"40%",IF(AND(T28="Detectivo",U28="Automático"),"40%",IF(AND(T28="Detectivo",U28="Manual"),"30%",IF(AND(T28="Correctivo",U28="Automático"),"35%",IF(AND(T28="Correctivo",U28="Manual"),"25%",""))))))</f>
        <v/>
      </c>
      <c r="W28" s="116"/>
      <c r="X28" s="116"/>
      <c r="Y28" s="116"/>
      <c r="Z28" s="118" t="str">
        <f>IFERROR(IF(AND(S27="Probabilidad",S28="Probabilidad"),(AB27-(+AB27*V28)),IF(S28="Probabilidad",(K27-(+K27*V28)),IF(S28="Impacto",AB27,""))),"")</f>
        <v/>
      </c>
      <c r="AA28" s="119" t="str">
        <f t="shared" si="0"/>
        <v/>
      </c>
      <c r="AB28" s="117" t="str">
        <f t="shared" ref="AB28:AB32" si="26">+Z28</f>
        <v/>
      </c>
      <c r="AC28" s="119" t="str">
        <f t="shared" si="2"/>
        <v/>
      </c>
      <c r="AD28" s="117" t="str">
        <f>IFERROR(IF(AND(S27="Impacto",S28="Impacto"),(AD21-(+AD21*V28)),IF(S28="Impacto",($O$27-(+$O$27*V28)),IF(S28="Probabilidad",AD21,""))),"")</f>
        <v/>
      </c>
      <c r="AE28" s="120" t="str">
        <f t="shared" ref="AE28:AE29" si="27">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116"/>
      <c r="AG28" s="121"/>
      <c r="AH28" s="122"/>
      <c r="AI28" s="123"/>
      <c r="AJ28" s="123"/>
      <c r="AK28" s="121"/>
      <c r="AL28" s="122"/>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14.45" customHeight="1" x14ac:dyDescent="0.3">
      <c r="A29" s="211"/>
      <c r="B29" s="216"/>
      <c r="C29" s="216"/>
      <c r="D29" s="212"/>
      <c r="E29" s="204"/>
      <c r="F29" s="209"/>
      <c r="G29" s="212"/>
      <c r="H29" s="206"/>
      <c r="I29" s="213"/>
      <c r="J29" s="200"/>
      <c r="K29" s="201"/>
      <c r="L29" s="203"/>
      <c r="M29" s="201">
        <f t="shared" si="24"/>
        <v>0</v>
      </c>
      <c r="N29" s="200"/>
      <c r="O29" s="201"/>
      <c r="P29" s="202"/>
      <c r="Q29" s="113">
        <v>3</v>
      </c>
      <c r="R29" s="126"/>
      <c r="S29" s="115" t="str">
        <f>IF(OR(T29="Preventivo",T29="Detectivo"),"Probabilidad",IF(T29="Correctivo","Impacto",""))</f>
        <v/>
      </c>
      <c r="T29" s="116"/>
      <c r="U29" s="116"/>
      <c r="V29" s="117" t="str">
        <f t="shared" si="25"/>
        <v/>
      </c>
      <c r="W29" s="116"/>
      <c r="X29" s="116"/>
      <c r="Y29" s="116"/>
      <c r="Z29" s="118" t="str">
        <f>IFERROR(IF(AND(S28="Probabilidad",S29="Probabilidad"),(AB28-(+AB28*V29)),IF(AND(S28="Impacto",S29="Probabilidad"),(AB27-(+AB27*V29)),IF(S29="Impacto",AB28,""))),"")</f>
        <v/>
      </c>
      <c r="AA29" s="119" t="str">
        <f t="shared" si="0"/>
        <v/>
      </c>
      <c r="AB29" s="117" t="str">
        <f t="shared" si="26"/>
        <v/>
      </c>
      <c r="AC29" s="119" t="str">
        <f t="shared" si="2"/>
        <v/>
      </c>
      <c r="AD29" s="117" t="str">
        <f>IFERROR(IF(AND(S28="Impacto",S29="Impacto"),(AD28-(+AD28*V29)),IF(AND(S28="Probabilidad",S29="Impacto"),(AD27-(+AD27*V29)),IF(S29="Probabilidad",AD28,""))),"")</f>
        <v/>
      </c>
      <c r="AE29" s="120" t="str">
        <f t="shared" si="27"/>
        <v/>
      </c>
      <c r="AF29" s="116"/>
      <c r="AG29" s="121"/>
      <c r="AH29" s="122"/>
      <c r="AI29" s="123"/>
      <c r="AJ29" s="123"/>
      <c r="AK29" s="121"/>
      <c r="AL29" s="122"/>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11"/>
      <c r="B30" s="216"/>
      <c r="C30" s="216"/>
      <c r="D30" s="212"/>
      <c r="E30" s="204"/>
      <c r="F30" s="209"/>
      <c r="G30" s="212"/>
      <c r="H30" s="206"/>
      <c r="I30" s="213"/>
      <c r="J30" s="200"/>
      <c r="K30" s="201"/>
      <c r="L30" s="203"/>
      <c r="M30" s="201">
        <f t="shared" si="24"/>
        <v>0</v>
      </c>
      <c r="N30" s="200"/>
      <c r="O30" s="201"/>
      <c r="P30" s="202"/>
      <c r="Q30" s="113">
        <v>4</v>
      </c>
      <c r="R30" s="114"/>
      <c r="S30" s="115" t="str">
        <f t="shared" ref="S30:S32" si="28">IF(OR(T30="Preventivo",T30="Detectivo"),"Probabilidad",IF(T30="Correctivo","Impacto",""))</f>
        <v/>
      </c>
      <c r="T30" s="116"/>
      <c r="U30" s="116"/>
      <c r="V30" s="117" t="str">
        <f t="shared" si="25"/>
        <v/>
      </c>
      <c r="W30" s="116"/>
      <c r="X30" s="116"/>
      <c r="Y30" s="116"/>
      <c r="Z30" s="118" t="str">
        <f t="shared" ref="Z30:Z32" si="29">IFERROR(IF(AND(S29="Probabilidad",S30="Probabilidad"),(AB29-(+AB29*V30)),IF(AND(S29="Impacto",S30="Probabilidad"),(AB28-(+AB28*V30)),IF(S30="Impacto",AB29,""))),"")</f>
        <v/>
      </c>
      <c r="AA30" s="119" t="str">
        <f t="shared" si="0"/>
        <v/>
      </c>
      <c r="AB30" s="117" t="str">
        <f t="shared" si="26"/>
        <v/>
      </c>
      <c r="AC30" s="119" t="str">
        <f t="shared" si="2"/>
        <v/>
      </c>
      <c r="AD30" s="117" t="str">
        <f t="shared" ref="AD30:AD32" si="30">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11"/>
      <c r="B31" s="216"/>
      <c r="C31" s="216"/>
      <c r="D31" s="212"/>
      <c r="E31" s="204"/>
      <c r="F31" s="209"/>
      <c r="G31" s="212"/>
      <c r="H31" s="206"/>
      <c r="I31" s="213"/>
      <c r="J31" s="200"/>
      <c r="K31" s="201"/>
      <c r="L31" s="203"/>
      <c r="M31" s="201">
        <f t="shared" si="24"/>
        <v>0</v>
      </c>
      <c r="N31" s="200"/>
      <c r="O31" s="201"/>
      <c r="P31" s="202"/>
      <c r="Q31" s="113">
        <v>5</v>
      </c>
      <c r="R31" s="114"/>
      <c r="S31" s="115" t="str">
        <f t="shared" si="28"/>
        <v/>
      </c>
      <c r="T31" s="116"/>
      <c r="U31" s="116"/>
      <c r="V31" s="117" t="str">
        <f t="shared" si="25"/>
        <v/>
      </c>
      <c r="W31" s="116"/>
      <c r="X31" s="116"/>
      <c r="Y31" s="116"/>
      <c r="Z31" s="127" t="str">
        <f t="shared" si="29"/>
        <v/>
      </c>
      <c r="AA31" s="119" t="str">
        <f>IFERROR(IF(Z31="","",IF(Z31&lt;=0.2,"Muy Baja",IF(Z31&lt;=0.4,"Baja",IF(Z31&lt;=0.6,"Media",IF(Z31&lt;=0.8,"Alta","Muy Alta"))))),"")</f>
        <v/>
      </c>
      <c r="AB31" s="117" t="str">
        <f t="shared" si="26"/>
        <v/>
      </c>
      <c r="AC31" s="119" t="str">
        <f t="shared" si="2"/>
        <v/>
      </c>
      <c r="AD31" s="117" t="str">
        <f t="shared" si="30"/>
        <v/>
      </c>
      <c r="AE31" s="120" t="str">
        <f t="shared" ref="AE31:AE32" si="31">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14.45" customHeight="1" x14ac:dyDescent="0.3">
      <c r="A32" s="211"/>
      <c r="B32" s="217"/>
      <c r="C32" s="217"/>
      <c r="D32" s="212"/>
      <c r="E32" s="204"/>
      <c r="F32" s="210"/>
      <c r="G32" s="212"/>
      <c r="H32" s="207"/>
      <c r="I32" s="213"/>
      <c r="J32" s="200"/>
      <c r="K32" s="201"/>
      <c r="L32" s="203"/>
      <c r="M32" s="201">
        <f t="shared" si="24"/>
        <v>0</v>
      </c>
      <c r="N32" s="200"/>
      <c r="O32" s="201"/>
      <c r="P32" s="202"/>
      <c r="Q32" s="113">
        <v>6</v>
      </c>
      <c r="R32" s="114"/>
      <c r="S32" s="115" t="str">
        <f t="shared" si="28"/>
        <v/>
      </c>
      <c r="T32" s="116"/>
      <c r="U32" s="116"/>
      <c r="V32" s="117" t="str">
        <f t="shared" si="25"/>
        <v/>
      </c>
      <c r="W32" s="116"/>
      <c r="X32" s="116"/>
      <c r="Y32" s="116"/>
      <c r="Z32" s="118" t="str">
        <f t="shared" si="29"/>
        <v/>
      </c>
      <c r="AA32" s="119" t="str">
        <f t="shared" si="0"/>
        <v/>
      </c>
      <c r="AB32" s="117" t="str">
        <f t="shared" si="26"/>
        <v/>
      </c>
      <c r="AC32" s="119" t="str">
        <f t="shared" si="2"/>
        <v/>
      </c>
      <c r="AD32" s="117" t="str">
        <f t="shared" si="30"/>
        <v/>
      </c>
      <c r="AE32" s="120" t="str">
        <f t="shared" si="31"/>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x14ac:dyDescent="0.3">
      <c r="A33" s="211">
        <v>5</v>
      </c>
      <c r="B33" s="139"/>
      <c r="C33" s="139"/>
      <c r="D33" s="212"/>
      <c r="E33" s="204"/>
      <c r="F33" s="141"/>
      <c r="G33" s="212"/>
      <c r="H33" s="140"/>
      <c r="I33" s="213"/>
      <c r="J33" s="200" t="str">
        <f>IF(I33&lt;=0,"",IF(I33&lt;=2,"Muy Baja",IF(I33&lt;=24,"Baja",IF(I33&lt;=500,"Media",IF(I33&lt;=5000,"Alta","Muy Alta")))))</f>
        <v/>
      </c>
      <c r="K33" s="201" t="str">
        <f>IF(J33="","",IF(J33="Muy Baja",0.2,IF(J33="Baja",0.4,IF(J33="Media",0.6,IF(J33="Alta",0.8,IF(J33="Muy Alta",1,))))))</f>
        <v/>
      </c>
      <c r="L33" s="203"/>
      <c r="M33" s="201">
        <f>IF(NOT(ISERROR(MATCH(L33,'Tabla Impacto'!$B$221:$B$223,0))),'Tabla Impacto'!$F$223&amp;"Por favor no seleccionar los criterios de impacto(Afectación Económica o presupuestal y Pérdida Reputacional)",L33)</f>
        <v>0</v>
      </c>
      <c r="N33" s="200" t="str">
        <f>IF(OR(M33='Tabla Impacto'!$C$11,M33='Tabla Impacto'!$D$11),"Leve",IF(OR(M33='Tabla Impacto'!$C$12,M33='Tabla Impacto'!$D$12),"Menor",IF(OR(M33='Tabla Impacto'!$C$13,M33='Tabla Impacto'!$D$13),"Moderado",IF(OR(M33='Tabla Impacto'!$C$14,M33='Tabla Impacto'!$D$14),"Mayor",IF(OR(M33='Tabla Impacto'!$C$15,M33='Tabla Impacto'!$D$15),"Catastrófico","")))))</f>
        <v/>
      </c>
      <c r="O33" s="201" t="str">
        <f>IF(N33="","",IF(N33="Leve",0.2,IF(N33="Menor",0.4,IF(N33="Moderado",0.6,IF(N33="Mayor",0.8,IF(N33="Catastrófico",1,))))))</f>
        <v/>
      </c>
      <c r="P33" s="202" t="str">
        <f>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
      </c>
      <c r="Q33" s="113">
        <v>1</v>
      </c>
      <c r="R33" s="114"/>
      <c r="S33" s="115" t="str">
        <f>IF(OR(T33="Preventivo",T33="Detectivo"),"Probabilidad",IF(T33="Correctivo","Impacto",""))</f>
        <v/>
      </c>
      <c r="T33" s="116"/>
      <c r="U33" s="116"/>
      <c r="V33" s="117" t="str">
        <f>IF(AND(T33="Preventivo",U33="Automático"),"50%",IF(AND(T33="Preventivo",U33="Manual"),"40%",IF(AND(T33="Detectivo",U33="Automático"),"40%",IF(AND(T33="Detectivo",U33="Manual"),"30%",IF(AND(T33="Correctivo",U33="Automático"),"35%",IF(AND(T33="Correctivo",U33="Manual"),"25%",""))))))</f>
        <v/>
      </c>
      <c r="W33" s="116"/>
      <c r="X33" s="116"/>
      <c r="Y33" s="116"/>
      <c r="Z33" s="118" t="str">
        <f>IFERROR(IF(S33="Probabilidad",(K33-(+K33*V33)),IF(S33="Impacto",K33,"")),"")</f>
        <v/>
      </c>
      <c r="AA33" s="119" t="str">
        <f>IFERROR(IF(Z33="","",IF(Z33&lt;=0.2,"Muy Baja",IF(Z33&lt;=0.4,"Baja",IF(Z33&lt;=0.6,"Media",IF(Z33&lt;=0.8,"Alta","Muy Alta"))))),"")</f>
        <v/>
      </c>
      <c r="AB33" s="117" t="str">
        <f>+Z33</f>
        <v/>
      </c>
      <c r="AC33" s="119" t="str">
        <f>IFERROR(IF(AD33="","",IF(AD33&lt;=0.2,"Leve",IF(AD33&lt;=0.4,"Menor",IF(AD33&lt;=0.6,"Moderado",IF(AD33&lt;=0.8,"Mayor","Catastrófico"))))),"")</f>
        <v/>
      </c>
      <c r="AD33" s="117" t="str">
        <f>IFERROR(IF(S33="Impacto",(O33-(+O33*V33)),IF(S33="Probabilidad",O33,"")),"")</f>
        <v/>
      </c>
      <c r="AE33" s="120"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
      </c>
      <c r="AF33" s="116"/>
      <c r="AG33" s="121"/>
      <c r="AH33" s="122"/>
      <c r="AI33" s="123"/>
      <c r="AJ33" s="123"/>
      <c r="AK33" s="121"/>
      <c r="AL33" s="122"/>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x14ac:dyDescent="0.3">
      <c r="A34" s="211"/>
      <c r="B34" s="139"/>
      <c r="C34" s="139"/>
      <c r="D34" s="212"/>
      <c r="E34" s="204"/>
      <c r="F34" s="141"/>
      <c r="G34" s="212"/>
      <c r="H34" s="140"/>
      <c r="I34" s="213"/>
      <c r="J34" s="200"/>
      <c r="K34" s="201"/>
      <c r="L34" s="203"/>
      <c r="M34" s="201">
        <f t="shared" ref="M34:M38" si="32">IF(NOT(ISERROR(MATCH(L34,_xlfn.ANCHORARRAY(E45),0))),K47&amp;"Por favor no seleccionar los criterios de impacto",L34)</f>
        <v>0</v>
      </c>
      <c r="N34" s="200"/>
      <c r="O34" s="201"/>
      <c r="P34" s="202"/>
      <c r="Q34" s="113">
        <v>2</v>
      </c>
      <c r="R34" s="114"/>
      <c r="S34" s="115" t="str">
        <f>IF(OR(T34="Preventivo",T34="Detectivo"),"Probabilidad",IF(T34="Correctivo","Impacto",""))</f>
        <v/>
      </c>
      <c r="T34" s="116"/>
      <c r="U34" s="116"/>
      <c r="V34" s="117" t="str">
        <f t="shared" ref="V34:V38" si="33">IF(AND(T34="Preventivo",U34="Automático"),"50%",IF(AND(T34="Preventivo",U34="Manual"),"40%",IF(AND(T34="Detectivo",U34="Automático"),"40%",IF(AND(T34="Detectivo",U34="Manual"),"30%",IF(AND(T34="Correctivo",U34="Automático"),"35%",IF(AND(T34="Correctivo",U34="Manual"),"25%",""))))))</f>
        <v/>
      </c>
      <c r="W34" s="116"/>
      <c r="X34" s="116"/>
      <c r="Y34" s="116"/>
      <c r="Z34" s="118" t="str">
        <f>IFERROR(IF(AND(S33="Probabilidad",S34="Probabilidad"),(AB33-(+AB33*V34)),IF(S34="Probabilidad",(K33-(+K33*V34)),IF(S34="Impacto",AB33,""))),"")</f>
        <v/>
      </c>
      <c r="AA34" s="119" t="str">
        <f t="shared" si="0"/>
        <v/>
      </c>
      <c r="AB34" s="117" t="str">
        <f t="shared" ref="AB34:AB38" si="34">+Z34</f>
        <v/>
      </c>
      <c r="AC34" s="119" t="str">
        <f t="shared" si="2"/>
        <v/>
      </c>
      <c r="AD34" s="117" t="str">
        <f>IFERROR(IF(AND(S33="Impacto",S34="Impacto"),(AD27-(+AD27*V34)),IF(S34="Impacto",($O$33-(+$O$33*V34)),IF(S34="Probabilidad",AD27,""))),"")</f>
        <v/>
      </c>
      <c r="AE34" s="120" t="str">
        <f t="shared" ref="AE34:AE35" si="35">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
      </c>
      <c r="AF34" s="116"/>
      <c r="AG34" s="121"/>
      <c r="AH34" s="122"/>
      <c r="AI34" s="123"/>
      <c r="AJ34" s="123"/>
      <c r="AK34" s="121"/>
      <c r="AL34" s="122"/>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x14ac:dyDescent="0.3">
      <c r="A35" s="211"/>
      <c r="B35" s="139"/>
      <c r="C35" s="139"/>
      <c r="D35" s="212"/>
      <c r="E35" s="204"/>
      <c r="F35" s="141"/>
      <c r="G35" s="212"/>
      <c r="H35" s="140"/>
      <c r="I35" s="213"/>
      <c r="J35" s="200"/>
      <c r="K35" s="201"/>
      <c r="L35" s="203"/>
      <c r="M35" s="201">
        <f t="shared" si="32"/>
        <v>0</v>
      </c>
      <c r="N35" s="200"/>
      <c r="O35" s="201"/>
      <c r="P35" s="202"/>
      <c r="Q35" s="113">
        <v>3</v>
      </c>
      <c r="R35" s="126"/>
      <c r="S35" s="115" t="str">
        <f>IF(OR(T35="Preventivo",T35="Detectivo"),"Probabilidad",IF(T35="Correctivo","Impacto",""))</f>
        <v/>
      </c>
      <c r="T35" s="116"/>
      <c r="U35" s="116"/>
      <c r="V35" s="117" t="str">
        <f t="shared" si="33"/>
        <v/>
      </c>
      <c r="W35" s="116"/>
      <c r="X35" s="116"/>
      <c r="Y35" s="116"/>
      <c r="Z35" s="118" t="str">
        <f>IFERROR(IF(AND(S34="Probabilidad",S35="Probabilidad"),(AB34-(+AB34*V35)),IF(AND(S34="Impacto",S35="Probabilidad"),(AB33-(+AB33*V35)),IF(S35="Impacto",AB34,""))),"")</f>
        <v/>
      </c>
      <c r="AA35" s="119" t="str">
        <f t="shared" si="0"/>
        <v/>
      </c>
      <c r="AB35" s="117" t="str">
        <f t="shared" si="34"/>
        <v/>
      </c>
      <c r="AC35" s="119" t="str">
        <f t="shared" si="2"/>
        <v/>
      </c>
      <c r="AD35" s="117" t="str">
        <f>IFERROR(IF(AND(S34="Impacto",S35="Impacto"),(AD34-(+AD34*V35)),IF(AND(S34="Probabilidad",S35="Impacto"),(AD33-(+AD33*V35)),IF(S35="Probabilidad",AD34,""))),"")</f>
        <v/>
      </c>
      <c r="AE35" s="120" t="str">
        <f t="shared" si="35"/>
        <v/>
      </c>
      <c r="AF35" s="116"/>
      <c r="AG35" s="121"/>
      <c r="AH35" s="122"/>
      <c r="AI35" s="123"/>
      <c r="AJ35" s="123"/>
      <c r="AK35" s="121"/>
      <c r="AL35" s="122"/>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11"/>
      <c r="B36" s="139"/>
      <c r="C36" s="139"/>
      <c r="D36" s="212"/>
      <c r="E36" s="204"/>
      <c r="F36" s="141"/>
      <c r="G36" s="212"/>
      <c r="H36" s="140"/>
      <c r="I36" s="213"/>
      <c r="J36" s="200"/>
      <c r="K36" s="201"/>
      <c r="L36" s="203"/>
      <c r="M36" s="201">
        <f t="shared" si="32"/>
        <v>0</v>
      </c>
      <c r="N36" s="200"/>
      <c r="O36" s="201"/>
      <c r="P36" s="202"/>
      <c r="Q36" s="113">
        <v>4</v>
      </c>
      <c r="R36" s="114"/>
      <c r="S36" s="115" t="str">
        <f t="shared" ref="S36:S38" si="36">IF(OR(T36="Preventivo",T36="Detectivo"),"Probabilidad",IF(T36="Correctivo","Impacto",""))</f>
        <v/>
      </c>
      <c r="T36" s="116"/>
      <c r="U36" s="116"/>
      <c r="V36" s="117" t="str">
        <f t="shared" si="33"/>
        <v/>
      </c>
      <c r="W36" s="116"/>
      <c r="X36" s="116"/>
      <c r="Y36" s="116"/>
      <c r="Z36" s="118" t="str">
        <f t="shared" ref="Z36:Z38" si="37">IFERROR(IF(AND(S35="Probabilidad",S36="Probabilidad"),(AB35-(+AB35*V36)),IF(AND(S35="Impacto",S36="Probabilidad"),(AB34-(+AB34*V36)),IF(S36="Impacto",AB35,""))),"")</f>
        <v/>
      </c>
      <c r="AA36" s="119" t="str">
        <f t="shared" si="0"/>
        <v/>
      </c>
      <c r="AB36" s="117" t="str">
        <f t="shared" si="34"/>
        <v/>
      </c>
      <c r="AC36" s="119" t="str">
        <f t="shared" si="2"/>
        <v/>
      </c>
      <c r="AD36" s="117" t="str">
        <f t="shared" ref="AD36:AD38" si="38">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21"/>
      <c r="AH36" s="122"/>
      <c r="AI36" s="123"/>
      <c r="AJ36" s="123"/>
      <c r="AK36" s="121"/>
      <c r="AL36" s="122"/>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x14ac:dyDescent="0.3">
      <c r="A37" s="211"/>
      <c r="B37" s="139"/>
      <c r="C37" s="139"/>
      <c r="D37" s="212"/>
      <c r="E37" s="204"/>
      <c r="F37" s="141"/>
      <c r="G37" s="212"/>
      <c r="H37" s="140"/>
      <c r="I37" s="213"/>
      <c r="J37" s="200"/>
      <c r="K37" s="201"/>
      <c r="L37" s="203"/>
      <c r="M37" s="201">
        <f t="shared" si="32"/>
        <v>0</v>
      </c>
      <c r="N37" s="200"/>
      <c r="O37" s="201"/>
      <c r="P37" s="202"/>
      <c r="Q37" s="113">
        <v>5</v>
      </c>
      <c r="R37" s="114"/>
      <c r="S37" s="115" t="str">
        <f t="shared" si="36"/>
        <v/>
      </c>
      <c r="T37" s="116"/>
      <c r="U37" s="116"/>
      <c r="V37" s="117" t="str">
        <f t="shared" si="33"/>
        <v/>
      </c>
      <c r="W37" s="116"/>
      <c r="X37" s="116"/>
      <c r="Y37" s="116"/>
      <c r="Z37" s="118" t="str">
        <f t="shared" si="37"/>
        <v/>
      </c>
      <c r="AA37" s="119" t="str">
        <f t="shared" si="0"/>
        <v/>
      </c>
      <c r="AB37" s="117" t="str">
        <f t="shared" si="34"/>
        <v/>
      </c>
      <c r="AC37" s="119" t="str">
        <f t="shared" si="2"/>
        <v/>
      </c>
      <c r="AD37" s="117" t="str">
        <f t="shared" si="38"/>
        <v/>
      </c>
      <c r="AE37" s="120" t="str">
        <f t="shared" ref="AE37:AE38" si="39">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21"/>
      <c r="AH37" s="122"/>
      <c r="AI37" s="123"/>
      <c r="AJ37" s="123"/>
      <c r="AK37" s="121"/>
      <c r="AL37" s="122"/>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x14ac:dyDescent="0.3">
      <c r="A38" s="211"/>
      <c r="B38" s="139"/>
      <c r="C38" s="139"/>
      <c r="D38" s="212"/>
      <c r="E38" s="204"/>
      <c r="F38" s="141"/>
      <c r="G38" s="212"/>
      <c r="H38" s="140"/>
      <c r="I38" s="213"/>
      <c r="J38" s="200"/>
      <c r="K38" s="201"/>
      <c r="L38" s="203"/>
      <c r="M38" s="201">
        <f t="shared" si="32"/>
        <v>0</v>
      </c>
      <c r="N38" s="200"/>
      <c r="O38" s="201"/>
      <c r="P38" s="202"/>
      <c r="Q38" s="113">
        <v>6</v>
      </c>
      <c r="R38" s="114"/>
      <c r="S38" s="115" t="str">
        <f t="shared" si="36"/>
        <v/>
      </c>
      <c r="T38" s="116"/>
      <c r="U38" s="116"/>
      <c r="V38" s="117" t="str">
        <f t="shared" si="33"/>
        <v/>
      </c>
      <c r="W38" s="116"/>
      <c r="X38" s="116"/>
      <c r="Y38" s="116"/>
      <c r="Z38" s="118" t="str">
        <f t="shared" si="37"/>
        <v/>
      </c>
      <c r="AA38" s="119" t="str">
        <f t="shared" si="0"/>
        <v/>
      </c>
      <c r="AB38" s="117" t="str">
        <f t="shared" si="34"/>
        <v/>
      </c>
      <c r="AC38" s="119" t="str">
        <f t="shared" si="2"/>
        <v/>
      </c>
      <c r="AD38" s="117" t="str">
        <f t="shared" si="38"/>
        <v/>
      </c>
      <c r="AE38" s="120" t="str">
        <f t="shared" si="39"/>
        <v/>
      </c>
      <c r="AF38" s="116"/>
      <c r="AG38" s="121"/>
      <c r="AH38" s="122"/>
      <c r="AI38" s="123"/>
      <c r="AJ38" s="123"/>
      <c r="AK38" s="121"/>
      <c r="AL38" s="122"/>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11">
        <v>6</v>
      </c>
      <c r="B39" s="139"/>
      <c r="C39" s="139"/>
      <c r="D39" s="212"/>
      <c r="E39" s="204"/>
      <c r="F39" s="141"/>
      <c r="G39" s="212"/>
      <c r="H39" s="140"/>
      <c r="I39" s="213"/>
      <c r="J39" s="200" t="str">
        <f>IF(I39&lt;=0,"",IF(I39&lt;=2,"Muy Baja",IF(I39&lt;=24,"Baja",IF(I39&lt;=500,"Media",IF(I39&lt;=5000,"Alta","Muy Alta")))))</f>
        <v/>
      </c>
      <c r="K39" s="201" t="str">
        <f>IF(J39="","",IF(J39="Muy Baja",0.2,IF(J39="Baja",0.4,IF(J39="Media",0.6,IF(J39="Alta",0.8,IF(J39="Muy Alta",1,))))))</f>
        <v/>
      </c>
      <c r="L39" s="203"/>
      <c r="M39" s="201">
        <f>IF(NOT(ISERROR(MATCH(L39,'Tabla Impacto'!$B$221:$B$223,0))),'Tabla Impacto'!$F$223&amp;"Por favor no seleccionar los criterios de impacto(Afectación Económica o presupuestal y Pérdida Reputacional)",L39)</f>
        <v>0</v>
      </c>
      <c r="N39" s="200" t="str">
        <f>IF(OR(M39='Tabla Impacto'!$C$11,M39='Tabla Impacto'!$D$11),"Leve",IF(OR(M39='Tabla Impacto'!$C$12,M39='Tabla Impacto'!$D$12),"Menor",IF(OR(M39='Tabla Impacto'!$C$13,M39='Tabla Impacto'!$D$13),"Moderado",IF(OR(M39='Tabla Impacto'!$C$14,M39='Tabla Impacto'!$D$14),"Mayor",IF(OR(M39='Tabla Impacto'!$C$15,M39='Tabla Impacto'!$D$15),"Catastrófico","")))))</f>
        <v/>
      </c>
      <c r="O39" s="201" t="str">
        <f>IF(N39="","",IF(N39="Leve",0.2,IF(N39="Menor",0.4,IF(N39="Moderado",0.6,IF(N39="Mayor",0.8,IF(N39="Catastrófico",1,))))))</f>
        <v/>
      </c>
      <c r="P39" s="202" t="str">
        <f>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11"/>
      <c r="B40" s="139"/>
      <c r="C40" s="139"/>
      <c r="D40" s="212"/>
      <c r="E40" s="204"/>
      <c r="F40" s="141"/>
      <c r="G40" s="212"/>
      <c r="H40" s="140"/>
      <c r="I40" s="213"/>
      <c r="J40" s="200"/>
      <c r="K40" s="201"/>
      <c r="L40" s="203"/>
      <c r="M40" s="201">
        <f t="shared" ref="M40:M44" si="40">IF(NOT(ISERROR(MATCH(L40,_xlfn.ANCHORARRAY(E51),0))),K53&amp;"Por favor no seleccionar los criterios de impacto",L40)</f>
        <v>0</v>
      </c>
      <c r="N40" s="200"/>
      <c r="O40" s="201"/>
      <c r="P40" s="202"/>
      <c r="Q40" s="113">
        <v>2</v>
      </c>
      <c r="R40" s="114"/>
      <c r="S40" s="115" t="str">
        <f>IF(OR(T40="Preventivo",T40="Detectivo"),"Probabilidad",IF(T40="Correctivo","Impacto",""))</f>
        <v/>
      </c>
      <c r="T40" s="116"/>
      <c r="U40" s="116"/>
      <c r="V40" s="117" t="str">
        <f t="shared" ref="V40:V44" si="41">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42">+Z40</f>
        <v/>
      </c>
      <c r="AC40" s="119" t="str">
        <f t="shared" si="2"/>
        <v/>
      </c>
      <c r="AD40" s="117" t="str">
        <f>IFERROR(IF(AND(S39="Impacto",S40="Impacto"),(AD33-(+AD33*V40)),IF(S40="Impacto",($O$39-(+$O$39*V40)),IF(S40="Probabilidad",AD33,""))),"")</f>
        <v/>
      </c>
      <c r="AE40" s="120" t="str">
        <f t="shared" ref="AE40:AE41" si="43">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11"/>
      <c r="B41" s="139"/>
      <c r="C41" s="139"/>
      <c r="D41" s="212"/>
      <c r="E41" s="204"/>
      <c r="F41" s="141"/>
      <c r="G41" s="212"/>
      <c r="H41" s="140"/>
      <c r="I41" s="213"/>
      <c r="J41" s="200"/>
      <c r="K41" s="201"/>
      <c r="L41" s="203"/>
      <c r="M41" s="201">
        <f t="shared" si="40"/>
        <v>0</v>
      </c>
      <c r="N41" s="200"/>
      <c r="O41" s="201"/>
      <c r="P41" s="202"/>
      <c r="Q41" s="113">
        <v>3</v>
      </c>
      <c r="R41" s="126"/>
      <c r="S41" s="115" t="str">
        <f>IF(OR(T41="Preventivo",T41="Detectivo"),"Probabilidad",IF(T41="Correctivo","Impacto",""))</f>
        <v/>
      </c>
      <c r="T41" s="116"/>
      <c r="U41" s="116"/>
      <c r="V41" s="117" t="str">
        <f t="shared" si="41"/>
        <v/>
      </c>
      <c r="W41" s="116"/>
      <c r="X41" s="116"/>
      <c r="Y41" s="116"/>
      <c r="Z41" s="118" t="str">
        <f>IFERROR(IF(AND(S40="Probabilidad",S41="Probabilidad"),(AB40-(+AB40*V41)),IF(AND(S40="Impacto",S41="Probabilidad"),(AB39-(+AB39*V41)),IF(S41="Impacto",AB40,""))),"")</f>
        <v/>
      </c>
      <c r="AA41" s="119" t="str">
        <f t="shared" si="0"/>
        <v/>
      </c>
      <c r="AB41" s="117" t="str">
        <f t="shared" si="42"/>
        <v/>
      </c>
      <c r="AC41" s="119" t="str">
        <f t="shared" si="2"/>
        <v/>
      </c>
      <c r="AD41" s="117" t="str">
        <f>IFERROR(IF(AND(S40="Impacto",S41="Impacto"),(AD40-(+AD40*V41)),IF(AND(S40="Probabilidad",S41="Impacto"),(AD39-(+AD39*V41)),IF(S41="Probabilidad",AD40,""))),"")</f>
        <v/>
      </c>
      <c r="AE41" s="120" t="str">
        <f t="shared" si="43"/>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11"/>
      <c r="B42" s="139"/>
      <c r="C42" s="139"/>
      <c r="D42" s="212"/>
      <c r="E42" s="204"/>
      <c r="F42" s="141"/>
      <c r="G42" s="212"/>
      <c r="H42" s="140"/>
      <c r="I42" s="213"/>
      <c r="J42" s="200"/>
      <c r="K42" s="201"/>
      <c r="L42" s="203"/>
      <c r="M42" s="201">
        <f t="shared" si="40"/>
        <v>0</v>
      </c>
      <c r="N42" s="200"/>
      <c r="O42" s="201"/>
      <c r="P42" s="202"/>
      <c r="Q42" s="113">
        <v>4</v>
      </c>
      <c r="R42" s="114"/>
      <c r="S42" s="115" t="str">
        <f t="shared" ref="S42:S44" si="44">IF(OR(T42="Preventivo",T42="Detectivo"),"Probabilidad",IF(T42="Correctivo","Impacto",""))</f>
        <v/>
      </c>
      <c r="T42" s="116"/>
      <c r="U42" s="116"/>
      <c r="V42" s="117" t="str">
        <f t="shared" si="41"/>
        <v/>
      </c>
      <c r="W42" s="116"/>
      <c r="X42" s="116"/>
      <c r="Y42" s="116"/>
      <c r="Z42" s="118" t="str">
        <f t="shared" ref="Z42:Z44" si="45">IFERROR(IF(AND(S41="Probabilidad",S42="Probabilidad"),(AB41-(+AB41*V42)),IF(AND(S41="Impacto",S42="Probabilidad"),(AB40-(+AB40*V42)),IF(S42="Impacto",AB41,""))),"")</f>
        <v/>
      </c>
      <c r="AA42" s="119" t="str">
        <f t="shared" si="0"/>
        <v/>
      </c>
      <c r="AB42" s="117" t="str">
        <f t="shared" si="42"/>
        <v/>
      </c>
      <c r="AC42" s="119" t="str">
        <f t="shared" si="2"/>
        <v/>
      </c>
      <c r="AD42" s="117" t="str">
        <f t="shared" ref="AD42:AD44" si="46">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11"/>
      <c r="B43" s="139"/>
      <c r="C43" s="139"/>
      <c r="D43" s="212"/>
      <c r="E43" s="204"/>
      <c r="F43" s="141"/>
      <c r="G43" s="212"/>
      <c r="H43" s="140"/>
      <c r="I43" s="213"/>
      <c r="J43" s="200"/>
      <c r="K43" s="201"/>
      <c r="L43" s="203"/>
      <c r="M43" s="201">
        <f t="shared" si="40"/>
        <v>0</v>
      </c>
      <c r="N43" s="200"/>
      <c r="O43" s="201"/>
      <c r="P43" s="202"/>
      <c r="Q43" s="113">
        <v>5</v>
      </c>
      <c r="R43" s="114"/>
      <c r="S43" s="115" t="str">
        <f t="shared" si="44"/>
        <v/>
      </c>
      <c r="T43" s="116"/>
      <c r="U43" s="116"/>
      <c r="V43" s="117" t="str">
        <f t="shared" si="41"/>
        <v/>
      </c>
      <c r="W43" s="116"/>
      <c r="X43" s="116"/>
      <c r="Y43" s="116"/>
      <c r="Z43" s="118" t="str">
        <f t="shared" si="45"/>
        <v/>
      </c>
      <c r="AA43" s="119" t="str">
        <f t="shared" si="0"/>
        <v/>
      </c>
      <c r="AB43" s="117" t="str">
        <f t="shared" si="42"/>
        <v/>
      </c>
      <c r="AC43" s="119" t="str">
        <f t="shared" si="2"/>
        <v/>
      </c>
      <c r="AD43" s="117" t="str">
        <f t="shared" si="46"/>
        <v/>
      </c>
      <c r="AE43" s="120" t="str">
        <f t="shared" ref="AE43" si="47">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11"/>
      <c r="B44" s="139"/>
      <c r="C44" s="139"/>
      <c r="D44" s="212"/>
      <c r="E44" s="204"/>
      <c r="F44" s="141"/>
      <c r="G44" s="212"/>
      <c r="H44" s="140"/>
      <c r="I44" s="213"/>
      <c r="J44" s="200"/>
      <c r="K44" s="201"/>
      <c r="L44" s="203"/>
      <c r="M44" s="201">
        <f t="shared" si="40"/>
        <v>0</v>
      </c>
      <c r="N44" s="200"/>
      <c r="O44" s="201"/>
      <c r="P44" s="202"/>
      <c r="Q44" s="113">
        <v>6</v>
      </c>
      <c r="R44" s="114"/>
      <c r="S44" s="115" t="str">
        <f t="shared" si="44"/>
        <v/>
      </c>
      <c r="T44" s="116"/>
      <c r="U44" s="116"/>
      <c r="V44" s="117" t="str">
        <f t="shared" si="41"/>
        <v/>
      </c>
      <c r="W44" s="116"/>
      <c r="X44" s="116"/>
      <c r="Y44" s="116"/>
      <c r="Z44" s="118" t="str">
        <f t="shared" si="45"/>
        <v/>
      </c>
      <c r="AA44" s="119" t="str">
        <f t="shared" si="0"/>
        <v/>
      </c>
      <c r="AB44" s="117" t="str">
        <f t="shared" si="42"/>
        <v/>
      </c>
      <c r="AC44" s="119" t="str">
        <f>IFERROR(IF(AD44="","",IF(AD44&lt;=0.2,"Leve",IF(AD44&lt;=0.4,"Menor",IF(AD44&lt;=0.6,"Moderado",IF(AD44&lt;=0.8,"Mayor","Catastrófico"))))),"")</f>
        <v/>
      </c>
      <c r="AD44" s="117" t="str">
        <f t="shared" si="46"/>
        <v/>
      </c>
      <c r="AE44" s="120" t="str">
        <f>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11">
        <v>7</v>
      </c>
      <c r="B45" s="139"/>
      <c r="C45" s="139"/>
      <c r="D45" s="212"/>
      <c r="E45" s="204"/>
      <c r="F45" s="141"/>
      <c r="G45" s="212"/>
      <c r="H45" s="140"/>
      <c r="I45" s="213"/>
      <c r="J45" s="200" t="str">
        <f>IF(I45&lt;=0,"",IF(I45&lt;=2,"Muy Baja",IF(I45&lt;=24,"Baja",IF(I45&lt;=500,"Media",IF(I45&lt;=5000,"Alta","Muy Alta")))))</f>
        <v/>
      </c>
      <c r="K45" s="201" t="str">
        <f>IF(J45="","",IF(J45="Muy Baja",0.2,IF(J45="Baja",0.4,IF(J45="Media",0.6,IF(J45="Alta",0.8,IF(J45="Muy Alta",1,))))))</f>
        <v/>
      </c>
      <c r="L45" s="203"/>
      <c r="M45" s="201">
        <f>IF(NOT(ISERROR(MATCH(L45,'Tabla Impacto'!$B$221:$B$223,0))),'Tabla Impacto'!$F$223&amp;"Por favor no seleccionar los criterios de impacto(Afectación Económica o presupuestal y Pérdida Reputacional)",L45)</f>
        <v>0</v>
      </c>
      <c r="N45" s="200" t="str">
        <f>IF(OR(M45='Tabla Impacto'!$C$11,M45='Tabla Impacto'!$D$11),"Leve",IF(OR(M45='Tabla Impacto'!$C$12,M45='Tabla Impacto'!$D$12),"Menor",IF(OR(M45='Tabla Impacto'!$C$13,M45='Tabla Impacto'!$D$13),"Moderado",IF(OR(M45='Tabla Impacto'!$C$14,M45='Tabla Impacto'!$D$14),"Mayor",IF(OR(M45='Tabla Impacto'!$C$15,M45='Tabla Impacto'!$D$15),"Catastrófico","")))))</f>
        <v/>
      </c>
      <c r="O45" s="201" t="str">
        <f>IF(N45="","",IF(N45="Leve",0.2,IF(N45="Menor",0.4,IF(N45="Moderado",0.6,IF(N45="Mayor",0.8,IF(N45="Catastrófico",1,))))))</f>
        <v/>
      </c>
      <c r="P45" s="202" t="str">
        <f>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11"/>
      <c r="B46" s="139"/>
      <c r="C46" s="139"/>
      <c r="D46" s="212"/>
      <c r="E46" s="204"/>
      <c r="F46" s="141"/>
      <c r="G46" s="212"/>
      <c r="H46" s="140"/>
      <c r="I46" s="213"/>
      <c r="J46" s="200"/>
      <c r="K46" s="201"/>
      <c r="L46" s="203"/>
      <c r="M46" s="201">
        <f t="shared" ref="M46:M50" si="48">IF(NOT(ISERROR(MATCH(L46,_xlfn.ANCHORARRAY(E57),0))),K59&amp;"Por favor no seleccionar los criterios de impacto",L46)</f>
        <v>0</v>
      </c>
      <c r="N46" s="200"/>
      <c r="O46" s="201"/>
      <c r="P46" s="202"/>
      <c r="Q46" s="113">
        <v>2</v>
      </c>
      <c r="R46" s="114"/>
      <c r="S46" s="115" t="str">
        <f>IF(OR(T46="Preventivo",T46="Detectivo"),"Probabilidad",IF(T46="Correctivo","Impacto",""))</f>
        <v/>
      </c>
      <c r="T46" s="116"/>
      <c r="U46" s="116"/>
      <c r="V46" s="117" t="str">
        <f t="shared" ref="V46:V50" si="49">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50">+Z46</f>
        <v/>
      </c>
      <c r="AC46" s="119" t="str">
        <f t="shared" si="2"/>
        <v/>
      </c>
      <c r="AD46" s="117" t="str">
        <f>IFERROR(IF(AND(S45="Impacto",S46="Impacto"),(AD39-(+AD39*V46)),IF(S46="Impacto",($O$45-(+$O$45*V46)),IF(S46="Probabilidad",AD39,""))),"")</f>
        <v/>
      </c>
      <c r="AE46" s="120" t="str">
        <f t="shared" ref="AE46:AE47" si="51">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11"/>
      <c r="B47" s="139"/>
      <c r="C47" s="139"/>
      <c r="D47" s="212"/>
      <c r="E47" s="204"/>
      <c r="F47" s="141"/>
      <c r="G47" s="212"/>
      <c r="H47" s="140"/>
      <c r="I47" s="213"/>
      <c r="J47" s="200"/>
      <c r="K47" s="201"/>
      <c r="L47" s="203"/>
      <c r="M47" s="201">
        <f t="shared" si="48"/>
        <v>0</v>
      </c>
      <c r="N47" s="200"/>
      <c r="O47" s="201"/>
      <c r="P47" s="202"/>
      <c r="Q47" s="113">
        <v>3</v>
      </c>
      <c r="R47" s="126"/>
      <c r="S47" s="115" t="str">
        <f>IF(OR(T47="Preventivo",T47="Detectivo"),"Probabilidad",IF(T47="Correctivo","Impacto",""))</f>
        <v/>
      </c>
      <c r="T47" s="116"/>
      <c r="U47" s="116"/>
      <c r="V47" s="117" t="str">
        <f t="shared" si="49"/>
        <v/>
      </c>
      <c r="W47" s="116"/>
      <c r="X47" s="116"/>
      <c r="Y47" s="116"/>
      <c r="Z47" s="118" t="str">
        <f>IFERROR(IF(AND(S46="Probabilidad",S47="Probabilidad"),(AB46-(+AB46*V47)),IF(AND(S46="Impacto",S47="Probabilidad"),(AB45-(+AB45*V47)),IF(S47="Impacto",AB46,""))),"")</f>
        <v/>
      </c>
      <c r="AA47" s="119" t="str">
        <f t="shared" si="0"/>
        <v/>
      </c>
      <c r="AB47" s="117" t="str">
        <f t="shared" si="50"/>
        <v/>
      </c>
      <c r="AC47" s="119" t="str">
        <f t="shared" si="2"/>
        <v/>
      </c>
      <c r="AD47" s="117" t="str">
        <f>IFERROR(IF(AND(S46="Impacto",S47="Impacto"),(AD46-(+AD46*V47)),IF(AND(S46="Probabilidad",S47="Impacto"),(AD45-(+AD45*V47)),IF(S47="Probabilidad",AD46,""))),"")</f>
        <v/>
      </c>
      <c r="AE47" s="120" t="str">
        <f t="shared" si="51"/>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11"/>
      <c r="B48" s="139"/>
      <c r="C48" s="139"/>
      <c r="D48" s="212"/>
      <c r="E48" s="204"/>
      <c r="F48" s="141"/>
      <c r="G48" s="212"/>
      <c r="H48" s="140"/>
      <c r="I48" s="213"/>
      <c r="J48" s="200"/>
      <c r="K48" s="201"/>
      <c r="L48" s="203"/>
      <c r="M48" s="201">
        <f t="shared" si="48"/>
        <v>0</v>
      </c>
      <c r="N48" s="200"/>
      <c r="O48" s="201"/>
      <c r="P48" s="202"/>
      <c r="Q48" s="113">
        <v>4</v>
      </c>
      <c r="R48" s="114"/>
      <c r="S48" s="115" t="str">
        <f t="shared" ref="S48:S50" si="52">IF(OR(T48="Preventivo",T48="Detectivo"),"Probabilidad",IF(T48="Correctivo","Impacto",""))</f>
        <v/>
      </c>
      <c r="T48" s="116"/>
      <c r="U48" s="116"/>
      <c r="V48" s="117" t="str">
        <f t="shared" si="49"/>
        <v/>
      </c>
      <c r="W48" s="116"/>
      <c r="X48" s="116"/>
      <c r="Y48" s="116"/>
      <c r="Z48" s="118" t="str">
        <f t="shared" ref="Z48:Z50" si="53">IFERROR(IF(AND(S47="Probabilidad",S48="Probabilidad"),(AB47-(+AB47*V48)),IF(AND(S47="Impacto",S48="Probabilidad"),(AB46-(+AB46*V48)),IF(S48="Impacto",AB47,""))),"")</f>
        <v/>
      </c>
      <c r="AA48" s="119" t="str">
        <f t="shared" si="0"/>
        <v/>
      </c>
      <c r="AB48" s="117" t="str">
        <f t="shared" si="50"/>
        <v/>
      </c>
      <c r="AC48" s="119" t="str">
        <f t="shared" si="2"/>
        <v/>
      </c>
      <c r="AD48" s="117" t="str">
        <f t="shared" ref="AD48:AD50" si="54">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11"/>
      <c r="B49" s="139"/>
      <c r="C49" s="139"/>
      <c r="D49" s="212"/>
      <c r="E49" s="204"/>
      <c r="F49" s="141"/>
      <c r="G49" s="212"/>
      <c r="H49" s="140"/>
      <c r="I49" s="213"/>
      <c r="J49" s="200"/>
      <c r="K49" s="201"/>
      <c r="L49" s="203"/>
      <c r="M49" s="201">
        <f t="shared" si="48"/>
        <v>0</v>
      </c>
      <c r="N49" s="200"/>
      <c r="O49" s="201"/>
      <c r="P49" s="202"/>
      <c r="Q49" s="113">
        <v>5</v>
      </c>
      <c r="R49" s="114"/>
      <c r="S49" s="115" t="str">
        <f t="shared" si="52"/>
        <v/>
      </c>
      <c r="T49" s="116"/>
      <c r="U49" s="116"/>
      <c r="V49" s="117" t="str">
        <f t="shared" si="49"/>
        <v/>
      </c>
      <c r="W49" s="116"/>
      <c r="X49" s="116"/>
      <c r="Y49" s="116"/>
      <c r="Z49" s="118" t="str">
        <f t="shared" si="53"/>
        <v/>
      </c>
      <c r="AA49" s="119" t="str">
        <f t="shared" si="0"/>
        <v/>
      </c>
      <c r="AB49" s="117" t="str">
        <f t="shared" si="50"/>
        <v/>
      </c>
      <c r="AC49" s="119" t="str">
        <f t="shared" si="2"/>
        <v/>
      </c>
      <c r="AD49" s="117" t="str">
        <f t="shared" si="54"/>
        <v/>
      </c>
      <c r="AE49" s="120" t="str">
        <f t="shared" ref="AE49:AE50" si="55">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11"/>
      <c r="B50" s="139"/>
      <c r="C50" s="139"/>
      <c r="D50" s="212"/>
      <c r="E50" s="204"/>
      <c r="F50" s="141"/>
      <c r="G50" s="212"/>
      <c r="H50" s="140"/>
      <c r="I50" s="213"/>
      <c r="J50" s="200"/>
      <c r="K50" s="201"/>
      <c r="L50" s="203"/>
      <c r="M50" s="201">
        <f t="shared" si="48"/>
        <v>0</v>
      </c>
      <c r="N50" s="200"/>
      <c r="O50" s="201"/>
      <c r="P50" s="202"/>
      <c r="Q50" s="113">
        <v>6</v>
      </c>
      <c r="R50" s="114"/>
      <c r="S50" s="115" t="str">
        <f t="shared" si="52"/>
        <v/>
      </c>
      <c r="T50" s="116"/>
      <c r="U50" s="116"/>
      <c r="V50" s="117" t="str">
        <f t="shared" si="49"/>
        <v/>
      </c>
      <c r="W50" s="116"/>
      <c r="X50" s="116"/>
      <c r="Y50" s="116"/>
      <c r="Z50" s="118" t="str">
        <f t="shared" si="53"/>
        <v/>
      </c>
      <c r="AA50" s="119" t="str">
        <f t="shared" si="0"/>
        <v/>
      </c>
      <c r="AB50" s="117" t="str">
        <f t="shared" si="50"/>
        <v/>
      </c>
      <c r="AC50" s="119" t="str">
        <f t="shared" si="2"/>
        <v/>
      </c>
      <c r="AD50" s="117" t="str">
        <f t="shared" si="54"/>
        <v/>
      </c>
      <c r="AE50" s="120" t="str">
        <f t="shared" si="55"/>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11">
        <v>8</v>
      </c>
      <c r="B51" s="139"/>
      <c r="C51" s="139"/>
      <c r="D51" s="212"/>
      <c r="E51" s="204"/>
      <c r="F51" s="141"/>
      <c r="G51" s="212"/>
      <c r="H51" s="140"/>
      <c r="I51" s="213"/>
      <c r="J51" s="200" t="str">
        <f>IF(I51&lt;=0,"",IF(I51&lt;=2,"Muy Baja",IF(I51&lt;=24,"Baja",IF(I51&lt;=500,"Media",IF(I51&lt;=5000,"Alta","Muy Alta")))))</f>
        <v/>
      </c>
      <c r="K51" s="201" t="str">
        <f>IF(J51="","",IF(J51="Muy Baja",0.2,IF(J51="Baja",0.4,IF(J51="Media",0.6,IF(J51="Alta",0.8,IF(J51="Muy Alta",1,))))))</f>
        <v/>
      </c>
      <c r="L51" s="203"/>
      <c r="M51" s="201">
        <f>IF(NOT(ISERROR(MATCH(L51,'Tabla Impacto'!$B$221:$B$223,0))),'Tabla Impacto'!$F$223&amp;"Por favor no seleccionar los criterios de impacto(Afectación Económica o presupuestal y Pérdida Reputacional)",L51)</f>
        <v>0</v>
      </c>
      <c r="N51" s="200" t="str">
        <f>IF(OR(M51='Tabla Impacto'!$C$11,M51='Tabla Impacto'!$D$11),"Leve",IF(OR(M51='Tabla Impacto'!$C$12,M51='Tabla Impacto'!$D$12),"Menor",IF(OR(M51='Tabla Impacto'!$C$13,M51='Tabla Impacto'!$D$13),"Moderado",IF(OR(M51='Tabla Impacto'!$C$14,M51='Tabla Impacto'!$D$14),"Mayor",IF(OR(M51='Tabla Impacto'!$C$15,M51='Tabla Impacto'!$D$15),"Catastrófico","")))))</f>
        <v/>
      </c>
      <c r="O51" s="201" t="str">
        <f>IF(N51="","",IF(N51="Leve",0.2,IF(N51="Menor",0.4,IF(N51="Moderado",0.6,IF(N51="Mayor",0.8,IF(N51="Catastrófico",1,))))))</f>
        <v/>
      </c>
      <c r="P51" s="202" t="str">
        <f>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11"/>
      <c r="B52" s="139"/>
      <c r="C52" s="139"/>
      <c r="D52" s="212"/>
      <c r="E52" s="204"/>
      <c r="F52" s="141"/>
      <c r="G52" s="212"/>
      <c r="H52" s="140"/>
      <c r="I52" s="213"/>
      <c r="J52" s="200"/>
      <c r="K52" s="201"/>
      <c r="L52" s="203"/>
      <c r="M52" s="201">
        <f>IF(NOT(ISERROR(MATCH(L52,_xlfn.ANCHORARRAY(E63),0))),K65&amp;"Por favor no seleccionar los criterios de impacto",L52)</f>
        <v>0</v>
      </c>
      <c r="N52" s="200"/>
      <c r="O52" s="201"/>
      <c r="P52" s="202"/>
      <c r="Q52" s="113">
        <v>2</v>
      </c>
      <c r="R52" s="114"/>
      <c r="S52" s="115" t="str">
        <f>IF(OR(T52="Preventivo",T52="Detectivo"),"Probabilidad",IF(T52="Correctivo","Impacto",""))</f>
        <v/>
      </c>
      <c r="T52" s="116"/>
      <c r="U52" s="116"/>
      <c r="V52" s="117" t="str">
        <f t="shared" ref="V52:V56" si="56">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57">+Z52</f>
        <v/>
      </c>
      <c r="AC52" s="119" t="str">
        <f t="shared" si="2"/>
        <v/>
      </c>
      <c r="AD52" s="117" t="str">
        <f>IFERROR(IF(AND(S51="Impacto",S52="Impacto"),(AD45-(+AD45*V52)),IF(S52="Impacto",($O$51-(+$O$51*V52)),IF(S52="Probabilidad",AD45,""))),"")</f>
        <v/>
      </c>
      <c r="AE52" s="120" t="str">
        <f t="shared" ref="AE52:AE53" si="58">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11"/>
      <c r="B53" s="139"/>
      <c r="C53" s="139"/>
      <c r="D53" s="212"/>
      <c r="E53" s="204"/>
      <c r="F53" s="141"/>
      <c r="G53" s="212"/>
      <c r="H53" s="140"/>
      <c r="I53" s="213"/>
      <c r="J53" s="200"/>
      <c r="K53" s="201"/>
      <c r="L53" s="203"/>
      <c r="M53" s="201">
        <f>IF(NOT(ISERROR(MATCH(L53,_xlfn.ANCHORARRAY(E64),0))),K66&amp;"Por favor no seleccionar los criterios de impacto",L53)</f>
        <v>0</v>
      </c>
      <c r="N53" s="200"/>
      <c r="O53" s="201"/>
      <c r="P53" s="202"/>
      <c r="Q53" s="113">
        <v>3</v>
      </c>
      <c r="R53" s="126"/>
      <c r="S53" s="115" t="str">
        <f>IF(OR(T53="Preventivo",T53="Detectivo"),"Probabilidad",IF(T53="Correctivo","Impacto",""))</f>
        <v/>
      </c>
      <c r="T53" s="116"/>
      <c r="U53" s="116"/>
      <c r="V53" s="117" t="str">
        <f t="shared" si="56"/>
        <v/>
      </c>
      <c r="W53" s="116"/>
      <c r="X53" s="116"/>
      <c r="Y53" s="116"/>
      <c r="Z53" s="118" t="str">
        <f>IFERROR(IF(AND(S52="Probabilidad",S53="Probabilidad"),(AB52-(+AB52*V53)),IF(AND(S52="Impacto",S53="Probabilidad"),(AB51-(+AB51*V53)),IF(S53="Impacto",AB52,""))),"")</f>
        <v/>
      </c>
      <c r="AA53" s="119" t="str">
        <f t="shared" si="0"/>
        <v/>
      </c>
      <c r="AB53" s="117" t="str">
        <f t="shared" si="57"/>
        <v/>
      </c>
      <c r="AC53" s="119" t="str">
        <f t="shared" si="2"/>
        <v/>
      </c>
      <c r="AD53" s="117" t="str">
        <f>IFERROR(IF(AND(S52="Impacto",S53="Impacto"),(AD52-(+AD52*V53)),IF(AND(S52="Probabilidad",S53="Impacto"),(AD51-(+AD51*V53)),IF(S53="Probabilidad",AD52,""))),"")</f>
        <v/>
      </c>
      <c r="AE53" s="120" t="str">
        <f t="shared" si="58"/>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11"/>
      <c r="B54" s="139"/>
      <c r="C54" s="139"/>
      <c r="D54" s="212"/>
      <c r="E54" s="204"/>
      <c r="F54" s="141"/>
      <c r="G54" s="212"/>
      <c r="H54" s="140"/>
      <c r="I54" s="213"/>
      <c r="J54" s="200"/>
      <c r="K54" s="201"/>
      <c r="L54" s="203"/>
      <c r="M54" s="201">
        <f>IF(NOT(ISERROR(MATCH(L54,_xlfn.ANCHORARRAY(E65),0))),K67&amp;"Por favor no seleccionar los criterios de impacto",L54)</f>
        <v>0</v>
      </c>
      <c r="N54" s="200"/>
      <c r="O54" s="201"/>
      <c r="P54" s="202"/>
      <c r="Q54" s="113">
        <v>4</v>
      </c>
      <c r="R54" s="114"/>
      <c r="S54" s="115" t="str">
        <f t="shared" ref="S54:S56" si="59">IF(OR(T54="Preventivo",T54="Detectivo"),"Probabilidad",IF(T54="Correctivo","Impacto",""))</f>
        <v/>
      </c>
      <c r="T54" s="116"/>
      <c r="U54" s="116"/>
      <c r="V54" s="117" t="str">
        <f t="shared" si="56"/>
        <v/>
      </c>
      <c r="W54" s="116"/>
      <c r="X54" s="116"/>
      <c r="Y54" s="116"/>
      <c r="Z54" s="118" t="str">
        <f t="shared" ref="Z54:Z56" si="60">IFERROR(IF(AND(S53="Probabilidad",S54="Probabilidad"),(AB53-(+AB53*V54)),IF(AND(S53="Impacto",S54="Probabilidad"),(AB52-(+AB52*V54)),IF(S54="Impacto",AB53,""))),"")</f>
        <v/>
      </c>
      <c r="AA54" s="119" t="str">
        <f t="shared" si="0"/>
        <v/>
      </c>
      <c r="AB54" s="117" t="str">
        <f t="shared" si="57"/>
        <v/>
      </c>
      <c r="AC54" s="119" t="str">
        <f t="shared" si="2"/>
        <v/>
      </c>
      <c r="AD54" s="117" t="str">
        <f t="shared" ref="AD54:AD56" si="61">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11"/>
      <c r="B55" s="139"/>
      <c r="C55" s="139"/>
      <c r="D55" s="212"/>
      <c r="E55" s="204"/>
      <c r="F55" s="141"/>
      <c r="G55" s="212"/>
      <c r="H55" s="140"/>
      <c r="I55" s="213"/>
      <c r="J55" s="200"/>
      <c r="K55" s="201"/>
      <c r="L55" s="203"/>
      <c r="M55" s="201">
        <f>IF(NOT(ISERROR(MATCH(L55,_xlfn.ANCHORARRAY(E66),0))),K68&amp;"Por favor no seleccionar los criterios de impacto",L55)</f>
        <v>0</v>
      </c>
      <c r="N55" s="200"/>
      <c r="O55" s="201"/>
      <c r="P55" s="202"/>
      <c r="Q55" s="113">
        <v>5</v>
      </c>
      <c r="R55" s="114"/>
      <c r="S55" s="115" t="str">
        <f t="shared" si="59"/>
        <v/>
      </c>
      <c r="T55" s="116"/>
      <c r="U55" s="116"/>
      <c r="V55" s="117" t="str">
        <f t="shared" si="56"/>
        <v/>
      </c>
      <c r="W55" s="116"/>
      <c r="X55" s="116"/>
      <c r="Y55" s="116"/>
      <c r="Z55" s="118" t="str">
        <f t="shared" si="60"/>
        <v/>
      </c>
      <c r="AA55" s="119" t="str">
        <f t="shared" si="0"/>
        <v/>
      </c>
      <c r="AB55" s="117" t="str">
        <f t="shared" si="57"/>
        <v/>
      </c>
      <c r="AC55" s="119" t="str">
        <f t="shared" si="2"/>
        <v/>
      </c>
      <c r="AD55" s="117" t="str">
        <f t="shared" si="61"/>
        <v/>
      </c>
      <c r="AE55" s="120" t="str">
        <f t="shared" ref="AE55:AE56" si="62">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11"/>
      <c r="B56" s="139"/>
      <c r="C56" s="139"/>
      <c r="D56" s="212"/>
      <c r="E56" s="204"/>
      <c r="F56" s="141"/>
      <c r="G56" s="212"/>
      <c r="H56" s="140"/>
      <c r="I56" s="213"/>
      <c r="J56" s="200"/>
      <c r="K56" s="201"/>
      <c r="L56" s="203"/>
      <c r="M56" s="201">
        <f>IF(NOT(ISERROR(MATCH(L56,_xlfn.ANCHORARRAY(E67),0))),K70&amp;"Por favor no seleccionar los criterios de impacto",L56)</f>
        <v>0</v>
      </c>
      <c r="N56" s="200"/>
      <c r="O56" s="201"/>
      <c r="P56" s="202"/>
      <c r="Q56" s="113">
        <v>6</v>
      </c>
      <c r="R56" s="114"/>
      <c r="S56" s="115" t="str">
        <f t="shared" si="59"/>
        <v/>
      </c>
      <c r="T56" s="116"/>
      <c r="U56" s="116"/>
      <c r="V56" s="117" t="str">
        <f t="shared" si="56"/>
        <v/>
      </c>
      <c r="W56" s="116"/>
      <c r="X56" s="116"/>
      <c r="Y56" s="116"/>
      <c r="Z56" s="118" t="str">
        <f t="shared" si="60"/>
        <v/>
      </c>
      <c r="AA56" s="119" t="str">
        <f t="shared" si="0"/>
        <v/>
      </c>
      <c r="AB56" s="117" t="str">
        <f t="shared" si="57"/>
        <v/>
      </c>
      <c r="AC56" s="119" t="str">
        <f t="shared" si="2"/>
        <v/>
      </c>
      <c r="AD56" s="117" t="str">
        <f t="shared" si="61"/>
        <v/>
      </c>
      <c r="AE56" s="120" t="str">
        <f t="shared" si="62"/>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11">
        <v>9</v>
      </c>
      <c r="B57" s="139"/>
      <c r="C57" s="139"/>
      <c r="D57" s="212"/>
      <c r="E57" s="204"/>
      <c r="F57" s="141"/>
      <c r="G57" s="212"/>
      <c r="H57" s="140"/>
      <c r="I57" s="213"/>
      <c r="J57" s="200" t="str">
        <f>IF(I57&lt;=0,"",IF(I57&lt;=2,"Muy Baja",IF(I57&lt;=24,"Baja",IF(I57&lt;=500,"Media",IF(I57&lt;=5000,"Alta","Muy Alta")))))</f>
        <v/>
      </c>
      <c r="K57" s="201" t="str">
        <f>IF(J57="","",IF(J57="Muy Baja",0.2,IF(J57="Baja",0.4,IF(J57="Media",0.6,IF(J57="Alta",0.8,IF(J57="Muy Alta",1,))))))</f>
        <v/>
      </c>
      <c r="L57" s="203"/>
      <c r="M57" s="201">
        <f>IF(NOT(ISERROR(MATCH(L57,'Tabla Impacto'!$B$221:$B$223,0))),'Tabla Impacto'!$F$223&amp;"Por favor no seleccionar los criterios de impacto(Afectación Económica o presupuestal y Pérdida Reputacional)",L57)</f>
        <v>0</v>
      </c>
      <c r="N57" s="200" t="str">
        <f>IF(OR(M57='Tabla Impacto'!$C$11,M57='Tabla Impacto'!$D$11),"Leve",IF(OR(M57='Tabla Impacto'!$C$12,M57='Tabla Impacto'!$D$12),"Menor",IF(OR(M57='Tabla Impacto'!$C$13,M57='Tabla Impacto'!$D$13),"Moderado",IF(OR(M57='Tabla Impacto'!$C$14,M57='Tabla Impacto'!$D$14),"Mayor",IF(OR(M57='Tabla Impacto'!$C$15,M57='Tabla Impacto'!$D$15),"Catastrófico","")))))</f>
        <v/>
      </c>
      <c r="O57" s="201" t="str">
        <f>IF(N57="","",IF(N57="Leve",0.2,IF(N57="Menor",0.4,IF(N57="Moderado",0.6,IF(N57="Mayor",0.8,IF(N57="Catastrófico",1,))))))</f>
        <v/>
      </c>
      <c r="P57" s="202" t="str">
        <f>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11"/>
      <c r="B58" s="139"/>
      <c r="C58" s="139"/>
      <c r="D58" s="212"/>
      <c r="E58" s="204"/>
      <c r="F58" s="141"/>
      <c r="G58" s="212"/>
      <c r="H58" s="140"/>
      <c r="I58" s="213"/>
      <c r="J58" s="200"/>
      <c r="K58" s="201"/>
      <c r="L58" s="203"/>
      <c r="M58" s="201">
        <f>IF(NOT(ISERROR(MATCH(L58,_xlfn.ANCHORARRAY(E70),0))),K72&amp;"Por favor no seleccionar los criterios de impacto",L58)</f>
        <v>0</v>
      </c>
      <c r="N58" s="200"/>
      <c r="O58" s="201"/>
      <c r="P58" s="202"/>
      <c r="Q58" s="113">
        <v>2</v>
      </c>
      <c r="R58" s="114"/>
      <c r="S58" s="115" t="str">
        <f>IF(OR(T58="Preventivo",T58="Detectivo"),"Probabilidad",IF(T58="Correctivo","Impacto",""))</f>
        <v/>
      </c>
      <c r="T58" s="116"/>
      <c r="U58" s="116"/>
      <c r="V58" s="117" t="str">
        <f t="shared" ref="V58:V62" si="63">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64">+Z58</f>
        <v/>
      </c>
      <c r="AC58" s="119" t="str">
        <f t="shared" si="2"/>
        <v/>
      </c>
      <c r="AD58" s="117" t="str">
        <f>IFERROR(IF(AND(S57="Impacto",S58="Impacto"),(AD51-(+AD51*V58)),IF(S58="Impacto",($O$57-(+$O$57*V58)),IF(S58="Probabilidad",AD51,""))),"")</f>
        <v/>
      </c>
      <c r="AE58" s="120" t="str">
        <f t="shared" ref="AE58:AE59" si="65">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11"/>
      <c r="B59" s="139"/>
      <c r="C59" s="139"/>
      <c r="D59" s="212"/>
      <c r="E59" s="204"/>
      <c r="F59" s="141"/>
      <c r="G59" s="212"/>
      <c r="H59" s="140"/>
      <c r="I59" s="213"/>
      <c r="J59" s="200"/>
      <c r="K59" s="201"/>
      <c r="L59" s="203"/>
      <c r="M59" s="201">
        <f>IF(NOT(ISERROR(MATCH(L59,_xlfn.ANCHORARRAY(E71),0))),K73&amp;"Por favor no seleccionar los criterios de impacto",L59)</f>
        <v>0</v>
      </c>
      <c r="N59" s="200"/>
      <c r="O59" s="201"/>
      <c r="P59" s="202"/>
      <c r="Q59" s="113">
        <v>3</v>
      </c>
      <c r="R59" s="126"/>
      <c r="S59" s="115" t="str">
        <f>IF(OR(T59="Preventivo",T59="Detectivo"),"Probabilidad",IF(T59="Correctivo","Impacto",""))</f>
        <v/>
      </c>
      <c r="T59" s="116"/>
      <c r="U59" s="116"/>
      <c r="V59" s="117" t="str">
        <f t="shared" si="63"/>
        <v/>
      </c>
      <c r="W59" s="116"/>
      <c r="X59" s="116"/>
      <c r="Y59" s="116"/>
      <c r="Z59" s="118" t="str">
        <f>IFERROR(IF(AND(S58="Probabilidad",S59="Probabilidad"),(AB58-(+AB58*V59)),IF(AND(S58="Impacto",S59="Probabilidad"),(AB57-(+AB57*V59)),IF(S59="Impacto",AB58,""))),"")</f>
        <v/>
      </c>
      <c r="AA59" s="119" t="str">
        <f t="shared" si="0"/>
        <v/>
      </c>
      <c r="AB59" s="117" t="str">
        <f t="shared" si="64"/>
        <v/>
      </c>
      <c r="AC59" s="119" t="str">
        <f t="shared" si="2"/>
        <v/>
      </c>
      <c r="AD59" s="117" t="str">
        <f>IFERROR(IF(AND(S58="Impacto",S59="Impacto"),(AD58-(+AD58*V59)),IF(AND(S58="Probabilidad",S59="Impacto"),(AD57-(+AD57*V59)),IF(S59="Probabilidad",AD58,""))),"")</f>
        <v/>
      </c>
      <c r="AE59" s="120" t="str">
        <f t="shared" si="65"/>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11"/>
      <c r="B60" s="139"/>
      <c r="C60" s="139"/>
      <c r="D60" s="212"/>
      <c r="E60" s="204"/>
      <c r="F60" s="141"/>
      <c r="G60" s="212"/>
      <c r="H60" s="140"/>
      <c r="I60" s="213"/>
      <c r="J60" s="200"/>
      <c r="K60" s="201"/>
      <c r="L60" s="203"/>
      <c r="M60" s="201">
        <f>IF(NOT(ISERROR(MATCH(L60,_xlfn.ANCHORARRAY(E72),0))),K74&amp;"Por favor no seleccionar los criterios de impacto",L60)</f>
        <v>0</v>
      </c>
      <c r="N60" s="200"/>
      <c r="O60" s="201"/>
      <c r="P60" s="202"/>
      <c r="Q60" s="113">
        <v>4</v>
      </c>
      <c r="R60" s="114"/>
      <c r="S60" s="115" t="str">
        <f t="shared" ref="S60:S62" si="66">IF(OR(T60="Preventivo",T60="Detectivo"),"Probabilidad",IF(T60="Correctivo","Impacto",""))</f>
        <v/>
      </c>
      <c r="T60" s="116"/>
      <c r="U60" s="116"/>
      <c r="V60" s="117" t="str">
        <f t="shared" si="63"/>
        <v/>
      </c>
      <c r="W60" s="116"/>
      <c r="X60" s="116"/>
      <c r="Y60" s="116"/>
      <c r="Z60" s="118" t="str">
        <f t="shared" ref="Z60:Z62" si="67">IFERROR(IF(AND(S59="Probabilidad",S60="Probabilidad"),(AB59-(+AB59*V60)),IF(AND(S59="Impacto",S60="Probabilidad"),(AB58-(+AB58*V60)),IF(S60="Impacto",AB59,""))),"")</f>
        <v/>
      </c>
      <c r="AA60" s="119" t="str">
        <f t="shared" si="0"/>
        <v/>
      </c>
      <c r="AB60" s="117" t="str">
        <f t="shared" si="64"/>
        <v/>
      </c>
      <c r="AC60" s="119" t="str">
        <f t="shared" si="2"/>
        <v/>
      </c>
      <c r="AD60" s="117" t="str">
        <f t="shared" ref="AD60:AD62" si="68">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11"/>
      <c r="B61" s="139"/>
      <c r="C61" s="139"/>
      <c r="D61" s="212"/>
      <c r="E61" s="204"/>
      <c r="F61" s="141"/>
      <c r="G61" s="212"/>
      <c r="H61" s="140"/>
      <c r="I61" s="213"/>
      <c r="J61" s="200"/>
      <c r="K61" s="201"/>
      <c r="L61" s="203"/>
      <c r="M61" s="201">
        <f>IF(NOT(ISERROR(MATCH(L61,_xlfn.ANCHORARRAY(E73),0))),K75&amp;"Por favor no seleccionar los criterios de impacto",L61)</f>
        <v>0</v>
      </c>
      <c r="N61" s="200"/>
      <c r="O61" s="201"/>
      <c r="P61" s="202"/>
      <c r="Q61" s="113">
        <v>5</v>
      </c>
      <c r="R61" s="114"/>
      <c r="S61" s="115" t="str">
        <f t="shared" si="66"/>
        <v/>
      </c>
      <c r="T61" s="116"/>
      <c r="U61" s="116"/>
      <c r="V61" s="117" t="str">
        <f t="shared" si="63"/>
        <v/>
      </c>
      <c r="W61" s="116"/>
      <c r="X61" s="116"/>
      <c r="Y61" s="116"/>
      <c r="Z61" s="118" t="str">
        <f t="shared" si="67"/>
        <v/>
      </c>
      <c r="AA61" s="119" t="str">
        <f t="shared" si="0"/>
        <v/>
      </c>
      <c r="AB61" s="117" t="str">
        <f t="shared" si="64"/>
        <v/>
      </c>
      <c r="AC61" s="119" t="str">
        <f t="shared" si="2"/>
        <v/>
      </c>
      <c r="AD61" s="117" t="str">
        <f t="shared" si="68"/>
        <v/>
      </c>
      <c r="AE61" s="120" t="str">
        <f t="shared" ref="AE61:AE62" si="69">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11"/>
      <c r="B62" s="139"/>
      <c r="C62" s="139"/>
      <c r="D62" s="212"/>
      <c r="E62" s="204"/>
      <c r="F62" s="141"/>
      <c r="G62" s="212"/>
      <c r="H62" s="140"/>
      <c r="I62" s="213"/>
      <c r="J62" s="200"/>
      <c r="K62" s="201"/>
      <c r="L62" s="203"/>
      <c r="M62" s="201">
        <f>IF(NOT(ISERROR(MATCH(L62,_xlfn.ANCHORARRAY(E74),0))),K76&amp;"Por favor no seleccionar los criterios de impacto",L62)</f>
        <v>0</v>
      </c>
      <c r="N62" s="200"/>
      <c r="O62" s="201"/>
      <c r="P62" s="202"/>
      <c r="Q62" s="113">
        <v>6</v>
      </c>
      <c r="R62" s="114"/>
      <c r="S62" s="115" t="str">
        <f t="shared" si="66"/>
        <v/>
      </c>
      <c r="T62" s="116"/>
      <c r="U62" s="116"/>
      <c r="V62" s="117" t="str">
        <f t="shared" si="63"/>
        <v/>
      </c>
      <c r="W62" s="116"/>
      <c r="X62" s="116"/>
      <c r="Y62" s="116"/>
      <c r="Z62" s="118" t="str">
        <f t="shared" si="67"/>
        <v/>
      </c>
      <c r="AA62" s="119" t="str">
        <f t="shared" si="0"/>
        <v/>
      </c>
      <c r="AB62" s="117" t="str">
        <f t="shared" si="64"/>
        <v/>
      </c>
      <c r="AC62" s="119" t="str">
        <f t="shared" si="2"/>
        <v/>
      </c>
      <c r="AD62" s="117" t="str">
        <f t="shared" si="68"/>
        <v/>
      </c>
      <c r="AE62" s="120" t="str">
        <f t="shared" si="69"/>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11">
        <v>10</v>
      </c>
      <c r="B63" s="139"/>
      <c r="C63" s="139"/>
      <c r="D63" s="212"/>
      <c r="E63" s="204"/>
      <c r="F63" s="141"/>
      <c r="G63" s="212"/>
      <c r="H63" s="140"/>
      <c r="I63" s="213"/>
      <c r="J63" s="200" t="str">
        <f>IF(I63&lt;=0,"",IF(I63&lt;=2,"Muy Baja",IF(I63&lt;=24,"Baja",IF(I63&lt;=500,"Media",IF(I63&lt;=5000,"Alta","Muy Alta")))))</f>
        <v/>
      </c>
      <c r="K63" s="201" t="str">
        <f>IF(J63="","",IF(J63="Muy Baja",0.2,IF(J63="Baja",0.4,IF(J63="Media",0.6,IF(J63="Alta",0.8,IF(J63="Muy Alta",1,))))))</f>
        <v/>
      </c>
      <c r="L63" s="203"/>
      <c r="M63" s="201">
        <f>IF(NOT(ISERROR(MATCH(L63,'Tabla Impacto'!$B$221:$B$223,0))),'Tabla Impacto'!$F$223&amp;"Por favor no seleccionar los criterios de impacto(Afectación Económica o presupuestal y Pérdida Reputacional)",L63)</f>
        <v>0</v>
      </c>
      <c r="N63" s="200" t="str">
        <f>IF(OR(M63='Tabla Impacto'!$C$11,M63='Tabla Impacto'!$D$11),"Leve",IF(OR(M63='Tabla Impacto'!$C$12,M63='Tabla Impacto'!$D$12),"Menor",IF(OR(M63='Tabla Impacto'!$C$13,M63='Tabla Impacto'!$D$13),"Moderado",IF(OR(M63='Tabla Impacto'!$C$14,M63='Tabla Impacto'!$D$14),"Mayor",IF(OR(M63='Tabla Impacto'!$C$15,M63='Tabla Impacto'!$D$15),"Catastrófico","")))))</f>
        <v/>
      </c>
      <c r="O63" s="201" t="str">
        <f>IF(N63="","",IF(N63="Leve",0.2,IF(N63="Menor",0.4,IF(N63="Moderado",0.6,IF(N63="Mayor",0.8,IF(N63="Catastrófico",1,))))))</f>
        <v/>
      </c>
      <c r="P63" s="202" t="str">
        <f>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11"/>
      <c r="B64" s="139"/>
      <c r="C64" s="139"/>
      <c r="D64" s="212"/>
      <c r="E64" s="204"/>
      <c r="F64" s="141"/>
      <c r="G64" s="212"/>
      <c r="H64" s="140"/>
      <c r="I64" s="213"/>
      <c r="J64" s="200"/>
      <c r="K64" s="201"/>
      <c r="L64" s="203"/>
      <c r="M64" s="201">
        <f>IF(NOT(ISERROR(MATCH(L64,_xlfn.ANCHORARRAY(E76),0))),K78&amp;"Por favor no seleccionar los criterios de impacto",L64)</f>
        <v>0</v>
      </c>
      <c r="N64" s="200"/>
      <c r="O64" s="201"/>
      <c r="P64" s="202"/>
      <c r="Q64" s="113">
        <v>2</v>
      </c>
      <c r="R64" s="114"/>
      <c r="S64" s="115" t="str">
        <f>IF(OR(T64="Preventivo",T64="Detectivo"),"Probabilidad",IF(T64="Correctivo","Impacto",""))</f>
        <v/>
      </c>
      <c r="T64" s="116"/>
      <c r="U64" s="116"/>
      <c r="V64" s="117" t="str">
        <f t="shared" ref="V64:V68" si="70">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71">+Z64</f>
        <v/>
      </c>
      <c r="AC64" s="119" t="str">
        <f t="shared" si="2"/>
        <v/>
      </c>
      <c r="AD64" s="117" t="str">
        <f>IFERROR(IF(AND(S63="Impacto",S64="Impacto"),(AD57-(+AD57*V64)),IF(S64="Impacto",($O$63-(+$O$63*V64)),IF(S64="Probabilidad",AD57,""))),"")</f>
        <v/>
      </c>
      <c r="AE64" s="120" t="str">
        <f t="shared" ref="AE64:AE65" si="72">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row>
    <row r="65" spans="1:38" x14ac:dyDescent="0.3">
      <c r="A65" s="211"/>
      <c r="B65" s="139"/>
      <c r="C65" s="139"/>
      <c r="D65" s="212"/>
      <c r="E65" s="204"/>
      <c r="F65" s="141"/>
      <c r="G65" s="212"/>
      <c r="H65" s="140"/>
      <c r="I65" s="213"/>
      <c r="J65" s="200"/>
      <c r="K65" s="201"/>
      <c r="L65" s="203"/>
      <c r="M65" s="201">
        <f>IF(NOT(ISERROR(MATCH(L65,_xlfn.ANCHORARRAY(E77),0))),K79&amp;"Por favor no seleccionar los criterios de impacto",L65)</f>
        <v>0</v>
      </c>
      <c r="N65" s="200"/>
      <c r="O65" s="201"/>
      <c r="P65" s="202"/>
      <c r="Q65" s="113">
        <v>3</v>
      </c>
      <c r="R65" s="126"/>
      <c r="S65" s="115" t="str">
        <f>IF(OR(T65="Preventivo",T65="Detectivo"),"Probabilidad",IF(T65="Correctivo","Impacto",""))</f>
        <v/>
      </c>
      <c r="T65" s="116"/>
      <c r="U65" s="116"/>
      <c r="V65" s="117" t="str">
        <f t="shared" si="70"/>
        <v/>
      </c>
      <c r="W65" s="116"/>
      <c r="X65" s="116"/>
      <c r="Y65" s="116"/>
      <c r="Z65" s="118" t="str">
        <f>IFERROR(IF(AND(S64="Probabilidad",S65="Probabilidad"),(AB64-(+AB64*V65)),IF(AND(S64="Impacto",S65="Probabilidad"),(AB63-(+AB63*V65)),IF(S65="Impacto",AB64,""))),"")</f>
        <v/>
      </c>
      <c r="AA65" s="119" t="str">
        <f t="shared" si="0"/>
        <v/>
      </c>
      <c r="AB65" s="117" t="str">
        <f t="shared" si="71"/>
        <v/>
      </c>
      <c r="AC65" s="119" t="str">
        <f t="shared" si="2"/>
        <v/>
      </c>
      <c r="AD65" s="117" t="str">
        <f>IFERROR(IF(AND(S64="Impacto",S65="Impacto"),(AD64-(+AD64*V65)),IF(AND(S64="Probabilidad",S65="Impacto"),(AD63-(+AD63*V65)),IF(S65="Probabilidad",AD64,""))),"")</f>
        <v/>
      </c>
      <c r="AE65" s="120" t="str">
        <f t="shared" si="72"/>
        <v/>
      </c>
      <c r="AF65" s="116"/>
      <c r="AG65" s="121"/>
      <c r="AH65" s="122"/>
      <c r="AI65" s="123"/>
      <c r="AJ65" s="123"/>
      <c r="AK65" s="121"/>
      <c r="AL65" s="122"/>
    </row>
    <row r="66" spans="1:38" x14ac:dyDescent="0.3">
      <c r="A66" s="211"/>
      <c r="B66" s="139"/>
      <c r="C66" s="139"/>
      <c r="D66" s="212"/>
      <c r="E66" s="204"/>
      <c r="F66" s="141"/>
      <c r="G66" s="212"/>
      <c r="H66" s="140"/>
      <c r="I66" s="213"/>
      <c r="J66" s="200"/>
      <c r="K66" s="201"/>
      <c r="L66" s="203"/>
      <c r="M66" s="201">
        <f>IF(NOT(ISERROR(MATCH(L66,_xlfn.ANCHORARRAY(E78),0))),K80&amp;"Por favor no seleccionar los criterios de impacto",L66)</f>
        <v>0</v>
      </c>
      <c r="N66" s="200"/>
      <c r="O66" s="201"/>
      <c r="P66" s="202"/>
      <c r="Q66" s="113">
        <v>4</v>
      </c>
      <c r="R66" s="114"/>
      <c r="S66" s="115" t="str">
        <f t="shared" ref="S66:S68" si="73">IF(OR(T66="Preventivo",T66="Detectivo"),"Probabilidad",IF(T66="Correctivo","Impacto",""))</f>
        <v/>
      </c>
      <c r="T66" s="116"/>
      <c r="U66" s="116"/>
      <c r="V66" s="117" t="str">
        <f t="shared" si="70"/>
        <v/>
      </c>
      <c r="W66" s="116"/>
      <c r="X66" s="116"/>
      <c r="Y66" s="116"/>
      <c r="Z66" s="118" t="str">
        <f t="shared" ref="Z66:Z68" si="74">IFERROR(IF(AND(S65="Probabilidad",S66="Probabilidad"),(AB65-(+AB65*V66)),IF(AND(S65="Impacto",S66="Probabilidad"),(AB64-(+AB64*V66)),IF(S66="Impacto",AB65,""))),"")</f>
        <v/>
      </c>
      <c r="AA66" s="119" t="str">
        <f t="shared" si="0"/>
        <v/>
      </c>
      <c r="AB66" s="117" t="str">
        <f t="shared" si="71"/>
        <v/>
      </c>
      <c r="AC66" s="119" t="str">
        <f t="shared" si="2"/>
        <v/>
      </c>
      <c r="AD66" s="117" t="str">
        <f t="shared" ref="AD66:AD68" si="75">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row>
    <row r="67" spans="1:38" x14ac:dyDescent="0.3">
      <c r="A67" s="211"/>
      <c r="B67" s="139"/>
      <c r="C67" s="139"/>
      <c r="D67" s="212"/>
      <c r="E67" s="204"/>
      <c r="F67" s="141"/>
      <c r="G67" s="212"/>
      <c r="H67" s="140"/>
      <c r="I67" s="213"/>
      <c r="J67" s="200"/>
      <c r="K67" s="201"/>
      <c r="L67" s="203"/>
      <c r="M67" s="201">
        <f>IF(NOT(ISERROR(MATCH(L67,_xlfn.ANCHORARRAY(E79),0))),K81&amp;"Por favor no seleccionar los criterios de impacto",L67)</f>
        <v>0</v>
      </c>
      <c r="N67" s="200"/>
      <c r="O67" s="201"/>
      <c r="P67" s="202"/>
      <c r="Q67" s="113">
        <v>5</v>
      </c>
      <c r="R67" s="114"/>
      <c r="S67" s="115" t="str">
        <f t="shared" si="73"/>
        <v/>
      </c>
      <c r="T67" s="116"/>
      <c r="U67" s="116"/>
      <c r="V67" s="117" t="str">
        <f t="shared" si="70"/>
        <v/>
      </c>
      <c r="W67" s="116"/>
      <c r="X67" s="116"/>
      <c r="Y67" s="116"/>
      <c r="Z67" s="118" t="str">
        <f t="shared" si="74"/>
        <v/>
      </c>
      <c r="AA67" s="119" t="str">
        <f t="shared" si="0"/>
        <v/>
      </c>
      <c r="AB67" s="117" t="str">
        <f t="shared" si="71"/>
        <v/>
      </c>
      <c r="AC67" s="119" t="str">
        <f t="shared" si="2"/>
        <v/>
      </c>
      <c r="AD67" s="117" t="str">
        <f t="shared" si="75"/>
        <v/>
      </c>
      <c r="AE67" s="120" t="str">
        <f t="shared" ref="AE67:AE68" si="76">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row>
    <row r="68" spans="1:38" x14ac:dyDescent="0.3">
      <c r="A68" s="211"/>
      <c r="B68" s="139"/>
      <c r="C68" s="139"/>
      <c r="D68" s="212"/>
      <c r="E68" s="204"/>
      <c r="F68" s="141"/>
      <c r="G68" s="212"/>
      <c r="H68" s="140"/>
      <c r="I68" s="213"/>
      <c r="J68" s="200"/>
      <c r="K68" s="201"/>
      <c r="L68" s="203"/>
      <c r="M68" s="201">
        <f>IF(NOT(ISERROR(MATCH(L68,_xlfn.ANCHORARRAY(E80),0))),K82&amp;"Por favor no seleccionar los criterios de impacto",L68)</f>
        <v>0</v>
      </c>
      <c r="N68" s="200"/>
      <c r="O68" s="201"/>
      <c r="P68" s="202"/>
      <c r="Q68" s="113">
        <v>6</v>
      </c>
      <c r="R68" s="114"/>
      <c r="S68" s="115" t="str">
        <f t="shared" si="73"/>
        <v/>
      </c>
      <c r="T68" s="116"/>
      <c r="U68" s="116"/>
      <c r="V68" s="117" t="str">
        <f t="shared" si="70"/>
        <v/>
      </c>
      <c r="W68" s="116"/>
      <c r="X68" s="116"/>
      <c r="Y68" s="116"/>
      <c r="Z68" s="118" t="str">
        <f t="shared" si="74"/>
        <v/>
      </c>
      <c r="AA68" s="119" t="str">
        <f t="shared" si="0"/>
        <v/>
      </c>
      <c r="AB68" s="117" t="str">
        <f t="shared" si="71"/>
        <v/>
      </c>
      <c r="AC68" s="119" t="str">
        <f t="shared" si="2"/>
        <v/>
      </c>
      <c r="AD68" s="117" t="str">
        <f t="shared" si="75"/>
        <v/>
      </c>
      <c r="AE68" s="120" t="str">
        <f t="shared" si="76"/>
        <v/>
      </c>
      <c r="AF68" s="116"/>
      <c r="AG68" s="121"/>
      <c r="AH68" s="122"/>
      <c r="AI68" s="123"/>
      <c r="AJ68" s="123"/>
      <c r="AK68" s="121"/>
      <c r="AL68" s="122"/>
    </row>
    <row r="69" spans="1:38" x14ac:dyDescent="0.3">
      <c r="A69" s="211">
        <v>1</v>
      </c>
      <c r="B69" s="139"/>
      <c r="C69" s="139"/>
      <c r="D69" s="212"/>
      <c r="E69" s="204"/>
      <c r="F69" s="141"/>
      <c r="G69" s="212"/>
      <c r="H69" s="140"/>
      <c r="I69" s="213"/>
      <c r="J69" s="200" t="str">
        <f>IF(I69&lt;=0,"",IF(I69&lt;=2,"Muy Baja",IF(I69&lt;=24,"Baja",IF(I69&lt;=500,"Media",IF(I69&lt;=5000,"Alta","Muy Alta")))))</f>
        <v/>
      </c>
      <c r="K69" s="201" t="str">
        <f>IF(J69="","",IF(J69="Muy Baja",0.2,IF(J69="Baja",0.4,IF(J69="Media",0.6,IF(J69="Alta",0.8,IF(J69="Muy Alta",1,))))))</f>
        <v/>
      </c>
      <c r="L69" s="203"/>
      <c r="M69" s="201">
        <f>IF(NOT(ISERROR(MATCH(L69,'Tabla Impacto'!$B$221:$B$223,0))),'Tabla Impacto'!$F$223&amp;"Por favor no seleccionar los criterios de impacto(Afectación Económica o presupuestal y Pérdida Reputacional)",L69)</f>
        <v>0</v>
      </c>
      <c r="N69" s="200" t="str">
        <f>IF(OR(M69='Tabla Impacto'!$C$11,M69='Tabla Impacto'!$D$11),"Leve",IF(OR(M69='Tabla Impacto'!$C$12,M69='Tabla Impacto'!$D$12),"Menor",IF(OR(M69='Tabla Impacto'!$C$13,M69='Tabla Impacto'!$D$13),"Moderado",IF(OR(M69='Tabla Impacto'!$C$14,M69='Tabla Impacto'!$D$14),"Mayor",IF(OR(M69='Tabla Impacto'!$C$15,M69='Tabla Impacto'!$D$15),"Catastrófico","")))))</f>
        <v/>
      </c>
      <c r="O69" s="201" t="str">
        <f>IF(N69="","",IF(N69="Leve",0.2,IF(N69="Menor",0.4,IF(N69="Moderado",0.6,IF(N69="Mayor",0.8,IF(N69="Catastrófico",1,))))))</f>
        <v/>
      </c>
      <c r="P69" s="202" t="str">
        <f>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row>
    <row r="70" spans="1:38" ht="49.5" customHeight="1" x14ac:dyDescent="0.3">
      <c r="A70" s="211"/>
      <c r="B70" s="139"/>
      <c r="C70" s="139"/>
      <c r="D70" s="212"/>
      <c r="E70" s="204"/>
      <c r="F70" s="141"/>
      <c r="G70" s="212"/>
      <c r="H70" s="140"/>
      <c r="I70" s="213"/>
      <c r="J70" s="200"/>
      <c r="K70" s="201"/>
      <c r="L70" s="203"/>
      <c r="M70" s="201">
        <f>IF(NOT(ISERROR(MATCH(L70,_xlfn.ANCHORARRAY(E81),0))),K83&amp;"Por favor no seleccionar los criterios de impacto",L70)</f>
        <v>0</v>
      </c>
      <c r="N70" s="200"/>
      <c r="O70" s="201"/>
      <c r="P70" s="202"/>
      <c r="Q70" s="113">
        <v>2</v>
      </c>
      <c r="R70" s="114"/>
      <c r="S70" s="115" t="str">
        <f>IF(OR(T70="Preventivo",T70="Detectivo"),"Probabilidad",IF(T70="Correctivo","Impacto",""))</f>
        <v/>
      </c>
      <c r="T70" s="116"/>
      <c r="U70" s="116"/>
      <c r="V70" s="117" t="str">
        <f t="shared" ref="V70:V74" si="77">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ref="AA70:AA74" si="78">IFERROR(IF(Z70="","",IF(Z70&lt;=0.2,"Muy Baja",IF(Z70&lt;=0.4,"Baja",IF(Z70&lt;=0.6,"Media",IF(Z70&lt;=0.8,"Alta","Muy Alta"))))),"")</f>
        <v/>
      </c>
      <c r="AB70" s="117" t="str">
        <f t="shared" ref="AB70:AB74" si="79">+Z70</f>
        <v/>
      </c>
      <c r="AC70" s="119" t="str">
        <f t="shared" ref="AC70:AC74" si="80">IFERROR(IF(AD70="","",IF(AD70&lt;=0.2,"Leve",IF(AD70&lt;=0.4,"Menor",IF(AD70&lt;=0.6,"Moderado",IF(AD70&lt;=0.8,"Mayor","Catastrófico"))))),"")</f>
        <v/>
      </c>
      <c r="AD70" s="117" t="str">
        <f>IFERROR(IF(AND(S69="Impacto",S70="Impacto"),(AD69-(+AD69*V70)),IF(S70="Impacto",($O$9-(+$O$9*V70)),IF(S70="Probabilidad",AD69,""))),"")</f>
        <v/>
      </c>
      <c r="AE70" s="120" t="str">
        <f t="shared" ref="AE70:AE71" si="81">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38" x14ac:dyDescent="0.3">
      <c r="A71" s="211"/>
      <c r="B71" s="139"/>
      <c r="C71" s="139"/>
      <c r="D71" s="212"/>
      <c r="E71" s="204"/>
      <c r="F71" s="141"/>
      <c r="G71" s="212"/>
      <c r="H71" s="140"/>
      <c r="I71" s="213"/>
      <c r="J71" s="200"/>
      <c r="K71" s="201"/>
      <c r="L71" s="203"/>
      <c r="M71" s="201">
        <f>IF(NOT(ISERROR(MATCH(L71,_xlfn.ANCHORARRAY(E82),0))),K84&amp;"Por favor no seleccionar los criterios de impacto",L71)</f>
        <v>0</v>
      </c>
      <c r="N71" s="200"/>
      <c r="O71" s="201"/>
      <c r="P71" s="202"/>
      <c r="Q71" s="113">
        <v>3</v>
      </c>
      <c r="R71" s="126"/>
      <c r="S71" s="115" t="str">
        <f>IF(OR(T71="Preventivo",T71="Detectivo"),"Probabilidad",IF(T71="Correctivo","Impacto",""))</f>
        <v/>
      </c>
      <c r="T71" s="116"/>
      <c r="U71" s="116"/>
      <c r="V71" s="117" t="str">
        <f t="shared" si="77"/>
        <v/>
      </c>
      <c r="W71" s="116"/>
      <c r="X71" s="116"/>
      <c r="Y71" s="116"/>
      <c r="Z71" s="118" t="str">
        <f>IFERROR(IF(AND(S70="Probabilidad",S71="Probabilidad"),(AB70-(+AB70*V71)),IF(AND(S70="Impacto",S71="Probabilidad"),(AB69-(+AB69*V71)),IF(S71="Impacto",AB70,""))),"")</f>
        <v/>
      </c>
      <c r="AA71" s="119" t="str">
        <f t="shared" si="78"/>
        <v/>
      </c>
      <c r="AB71" s="117" t="str">
        <f t="shared" si="79"/>
        <v/>
      </c>
      <c r="AC71" s="119" t="str">
        <f t="shared" si="80"/>
        <v/>
      </c>
      <c r="AD71" s="117" t="str">
        <f>IFERROR(IF(AND(S70="Impacto",S71="Impacto"),(AD70-(+AD70*V71)),IF(AND(S70="Probabilidad",S71="Impacto"),(AD69-(+AD69*V71)),IF(S71="Probabilidad",AD70,""))),"")</f>
        <v/>
      </c>
      <c r="AE71" s="120" t="str">
        <f t="shared" si="81"/>
        <v/>
      </c>
      <c r="AF71" s="116"/>
      <c r="AG71" s="121"/>
      <c r="AH71" s="122"/>
      <c r="AI71" s="123"/>
      <c r="AJ71" s="123"/>
      <c r="AK71" s="121"/>
      <c r="AL71" s="122"/>
    </row>
    <row r="72" spans="1:38" x14ac:dyDescent="0.3">
      <c r="A72" s="211"/>
      <c r="B72" s="139"/>
      <c r="C72" s="139"/>
      <c r="D72" s="212"/>
      <c r="E72" s="204"/>
      <c r="F72" s="141"/>
      <c r="G72" s="212"/>
      <c r="H72" s="140"/>
      <c r="I72" s="213"/>
      <c r="J72" s="200"/>
      <c r="K72" s="201"/>
      <c r="L72" s="203"/>
      <c r="M72" s="201">
        <f>IF(NOT(ISERROR(MATCH(L72,_xlfn.ANCHORARRAY(E83),0))),K85&amp;"Por favor no seleccionar los criterios de impacto",L72)</f>
        <v>0</v>
      </c>
      <c r="N72" s="200"/>
      <c r="O72" s="201"/>
      <c r="P72" s="202"/>
      <c r="Q72" s="113">
        <v>4</v>
      </c>
      <c r="R72" s="114"/>
      <c r="S72" s="115" t="str">
        <f t="shared" ref="S72:S74" si="82">IF(OR(T72="Preventivo",T72="Detectivo"),"Probabilidad",IF(T72="Correctivo","Impacto",""))</f>
        <v/>
      </c>
      <c r="T72" s="116"/>
      <c r="U72" s="116"/>
      <c r="V72" s="117" t="str">
        <f t="shared" si="77"/>
        <v/>
      </c>
      <c r="W72" s="116"/>
      <c r="X72" s="116"/>
      <c r="Y72" s="116"/>
      <c r="Z72" s="118" t="str">
        <f t="shared" ref="Z72:Z74" si="83">IFERROR(IF(AND(S71="Probabilidad",S72="Probabilidad"),(AB71-(+AB71*V72)),IF(AND(S71="Impacto",S72="Probabilidad"),(AB70-(+AB70*V72)),IF(S72="Impacto",AB71,""))),"")</f>
        <v/>
      </c>
      <c r="AA72" s="119" t="str">
        <f t="shared" si="78"/>
        <v/>
      </c>
      <c r="AB72" s="117" t="str">
        <f t="shared" si="79"/>
        <v/>
      </c>
      <c r="AC72" s="119" t="str">
        <f t="shared" si="80"/>
        <v/>
      </c>
      <c r="AD72" s="117" t="str">
        <f t="shared" ref="AD72:AD74" si="84">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38" x14ac:dyDescent="0.3">
      <c r="A73" s="211"/>
      <c r="B73" s="139"/>
      <c r="C73" s="139"/>
      <c r="D73" s="212"/>
      <c r="E73" s="204"/>
      <c r="F73" s="141"/>
      <c r="G73" s="212"/>
      <c r="H73" s="140"/>
      <c r="I73" s="213"/>
      <c r="J73" s="200"/>
      <c r="K73" s="201"/>
      <c r="L73" s="203"/>
      <c r="M73" s="201">
        <f>IF(NOT(ISERROR(MATCH(L73,_xlfn.ANCHORARRAY(E84),0))),K86&amp;"Por favor no seleccionar los criterios de impacto",L73)</f>
        <v>0</v>
      </c>
      <c r="N73" s="200"/>
      <c r="O73" s="201"/>
      <c r="P73" s="202"/>
      <c r="Q73" s="113">
        <v>5</v>
      </c>
      <c r="R73" s="114"/>
      <c r="S73" s="115" t="str">
        <f t="shared" si="82"/>
        <v/>
      </c>
      <c r="T73" s="116"/>
      <c r="U73" s="116"/>
      <c r="V73" s="117" t="str">
        <f t="shared" si="77"/>
        <v/>
      </c>
      <c r="W73" s="116"/>
      <c r="X73" s="116"/>
      <c r="Y73" s="116"/>
      <c r="Z73" s="118" t="str">
        <f t="shared" si="83"/>
        <v/>
      </c>
      <c r="AA73" s="119" t="str">
        <f t="shared" si="78"/>
        <v/>
      </c>
      <c r="AB73" s="117" t="str">
        <f t="shared" si="79"/>
        <v/>
      </c>
      <c r="AC73" s="119" t="str">
        <f t="shared" si="80"/>
        <v/>
      </c>
      <c r="AD73" s="117" t="str">
        <f t="shared" si="84"/>
        <v/>
      </c>
      <c r="AE73" s="120" t="str">
        <f t="shared" ref="AE73:AE74" si="85">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38" x14ac:dyDescent="0.3">
      <c r="A74" s="211"/>
      <c r="B74" s="139"/>
      <c r="C74" s="139"/>
      <c r="D74" s="212"/>
      <c r="E74" s="204"/>
      <c r="F74" s="141"/>
      <c r="G74" s="212"/>
      <c r="H74" s="140"/>
      <c r="I74" s="213"/>
      <c r="J74" s="200"/>
      <c r="K74" s="201"/>
      <c r="L74" s="203"/>
      <c r="M74" s="201">
        <f>IF(NOT(ISERROR(MATCH(L74,_xlfn.ANCHORARRAY(E85),0))),K87&amp;"Por favor no seleccionar los criterios de impacto",L74)</f>
        <v>0</v>
      </c>
      <c r="N74" s="200"/>
      <c r="O74" s="201"/>
      <c r="P74" s="202"/>
      <c r="Q74" s="113">
        <v>6</v>
      </c>
      <c r="R74" s="114"/>
      <c r="S74" s="115" t="str">
        <f t="shared" si="82"/>
        <v/>
      </c>
      <c r="T74" s="116"/>
      <c r="U74" s="116"/>
      <c r="V74" s="117" t="str">
        <f t="shared" si="77"/>
        <v/>
      </c>
      <c r="W74" s="116"/>
      <c r="X74" s="116"/>
      <c r="Y74" s="116"/>
      <c r="Z74" s="118" t="str">
        <f t="shared" si="83"/>
        <v/>
      </c>
      <c r="AA74" s="119" t="str">
        <f t="shared" si="78"/>
        <v/>
      </c>
      <c r="AB74" s="117" t="str">
        <f t="shared" si="79"/>
        <v/>
      </c>
      <c r="AC74" s="119" t="str">
        <f t="shared" si="80"/>
        <v/>
      </c>
      <c r="AD74" s="117" t="str">
        <f t="shared" si="84"/>
        <v/>
      </c>
      <c r="AE74" s="120" t="str">
        <f t="shared" si="85"/>
        <v/>
      </c>
      <c r="AF74" s="116"/>
      <c r="AG74" s="121"/>
      <c r="AH74" s="122"/>
      <c r="AI74" s="123"/>
      <c r="AJ74" s="123"/>
      <c r="AK74" s="121"/>
      <c r="AL74" s="122"/>
    </row>
    <row r="75" spans="1:38" x14ac:dyDescent="0.3">
      <c r="A75" s="211">
        <v>2</v>
      </c>
      <c r="B75" s="139"/>
      <c r="C75" s="139"/>
      <c r="D75" s="212"/>
      <c r="E75" s="204"/>
      <c r="F75" s="141"/>
      <c r="G75" s="212"/>
      <c r="H75" s="140"/>
      <c r="I75" s="213"/>
      <c r="J75" s="200" t="str">
        <f>IF(I75&lt;=0,"",IF(I75&lt;=2,"Muy Baja",IF(I75&lt;=24,"Baja",IF(I75&lt;=500,"Media",IF(I75&lt;=5000,"Alta","Muy Alta")))))</f>
        <v/>
      </c>
      <c r="K75" s="201" t="str">
        <f>IF(J75="","",IF(J75="Muy Baja",0.2,IF(J75="Baja",0.4,IF(J75="Media",0.6,IF(J75="Alta",0.8,IF(J75="Muy Alta",1,))))))</f>
        <v/>
      </c>
      <c r="L75" s="203"/>
      <c r="M75" s="201">
        <f>IF(NOT(ISERROR(MATCH(L75,'Tabla Impacto'!$B$221:$B$223,0))),'Tabla Impacto'!$F$223&amp;"Por favor no seleccionar los criterios de impacto(Afectación Económica o presupuestal y Pérdida Reputacional)",L75)</f>
        <v>0</v>
      </c>
      <c r="N75" s="200" t="str">
        <f>IF(OR(M75='Tabla Impacto'!$C$11,M75='Tabla Impacto'!$D$11),"Leve",IF(OR(M75='Tabla Impacto'!$C$12,M75='Tabla Impacto'!$D$12),"Menor",IF(OR(M75='Tabla Impacto'!$C$13,M75='Tabla Impacto'!$D$13),"Moderado",IF(OR(M75='Tabla Impacto'!$C$14,M75='Tabla Impacto'!$D$14),"Mayor",IF(OR(M75='Tabla Impacto'!$C$15,M75='Tabla Impacto'!$D$15),"Catastrófico","")))))</f>
        <v/>
      </c>
      <c r="O75" s="201" t="str">
        <f>IF(N75="","",IF(N75="Leve",0.2,IF(N75="Menor",0.4,IF(N75="Moderado",0.6,IF(N75="Mayor",0.8,IF(N75="Catastrófico",1,))))))</f>
        <v/>
      </c>
      <c r="P75" s="202" t="str">
        <f>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38" x14ac:dyDescent="0.3">
      <c r="A76" s="211"/>
      <c r="B76" s="139"/>
      <c r="C76" s="139"/>
      <c r="D76" s="212"/>
      <c r="E76" s="204"/>
      <c r="F76" s="141"/>
      <c r="G76" s="212"/>
      <c r="H76" s="140"/>
      <c r="I76" s="213"/>
      <c r="J76" s="200"/>
      <c r="K76" s="201"/>
      <c r="L76" s="203"/>
      <c r="M76" s="201">
        <f>IF(NOT(ISERROR(MATCH(L76,_xlfn.ANCHORARRAY(E87),0))),K89&amp;"Por favor no seleccionar los criterios de impacto",L76)</f>
        <v>0</v>
      </c>
      <c r="N76" s="200"/>
      <c r="O76" s="201"/>
      <c r="P76" s="202"/>
      <c r="Q76" s="113">
        <v>2</v>
      </c>
      <c r="R76" s="114"/>
      <c r="S76" s="115" t="str">
        <f>IF(OR(T76="Preventivo",T76="Detectivo"),"Probabilidad",IF(T76="Correctivo","Impacto",""))</f>
        <v/>
      </c>
      <c r="T76" s="116"/>
      <c r="U76" s="116"/>
      <c r="V76" s="117" t="str">
        <f t="shared" ref="V76:V80" si="86">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87">IFERROR(IF(Z76="","",IF(Z76&lt;=0.2,"Muy Baja",IF(Z76&lt;=0.4,"Baja",IF(Z76&lt;=0.6,"Media",IF(Z76&lt;=0.8,"Alta","Muy Alta"))))),"")</f>
        <v/>
      </c>
      <c r="AB76" s="117" t="str">
        <f t="shared" ref="AB76:AB80" si="88">+Z76</f>
        <v/>
      </c>
      <c r="AC76" s="119" t="str">
        <f t="shared" ref="AC76:AC80" si="89">IFERROR(IF(AD76="","",IF(AD76&lt;=0.2,"Leve",IF(AD76&lt;=0.4,"Menor",IF(AD76&lt;=0.6,"Moderado",IF(AD76&lt;=0.8,"Mayor","Catastrófico"))))),"")</f>
        <v/>
      </c>
      <c r="AD76" s="117" t="str">
        <f>IFERROR(IF(AND(S75="Impacto",S76="Impacto"),(AD69-(+AD69*V76)),IF(S76="Impacto",($O$15-(+$O$15*V76)),IF(S76="Probabilidad",AD69,""))),"")</f>
        <v/>
      </c>
      <c r="AE76" s="120" t="str">
        <f t="shared" ref="AE76:AE77" si="90">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38" x14ac:dyDescent="0.3">
      <c r="A77" s="211"/>
      <c r="B77" s="139"/>
      <c r="C77" s="139"/>
      <c r="D77" s="212"/>
      <c r="E77" s="204"/>
      <c r="F77" s="141"/>
      <c r="G77" s="212"/>
      <c r="H77" s="140"/>
      <c r="I77" s="213"/>
      <c r="J77" s="200"/>
      <c r="K77" s="201"/>
      <c r="L77" s="203"/>
      <c r="M77" s="201">
        <f>IF(NOT(ISERROR(MATCH(L77,_xlfn.ANCHORARRAY(E88),0))),K90&amp;"Por favor no seleccionar los criterios de impacto",L77)</f>
        <v>0</v>
      </c>
      <c r="N77" s="200"/>
      <c r="O77" s="201"/>
      <c r="P77" s="202"/>
      <c r="Q77" s="113">
        <v>3</v>
      </c>
      <c r="R77" s="126"/>
      <c r="S77" s="115" t="str">
        <f>IF(OR(T77="Preventivo",T77="Detectivo"),"Probabilidad",IF(T77="Correctivo","Impacto",""))</f>
        <v/>
      </c>
      <c r="T77" s="116"/>
      <c r="U77" s="116"/>
      <c r="V77" s="117" t="str">
        <f t="shared" si="86"/>
        <v/>
      </c>
      <c r="W77" s="116"/>
      <c r="X77" s="116"/>
      <c r="Y77" s="116"/>
      <c r="Z77" s="118" t="str">
        <f>IFERROR(IF(AND(S76="Probabilidad",S77="Probabilidad"),(AB76-(+AB76*V77)),IF(AND(S76="Impacto",S77="Probabilidad"),(AB75-(+AB75*V77)),IF(S77="Impacto",AB76,""))),"")</f>
        <v/>
      </c>
      <c r="AA77" s="119" t="str">
        <f t="shared" si="87"/>
        <v/>
      </c>
      <c r="AB77" s="117" t="str">
        <f t="shared" si="88"/>
        <v/>
      </c>
      <c r="AC77" s="119" t="str">
        <f t="shared" si="89"/>
        <v/>
      </c>
      <c r="AD77" s="117" t="str">
        <f>IFERROR(IF(AND(S76="Impacto",S77="Impacto"),(AD76-(+AD76*V77)),IF(AND(S76="Probabilidad",S77="Impacto"),(AD75-(+AD75*V77)),IF(S77="Probabilidad",AD76,""))),"")</f>
        <v/>
      </c>
      <c r="AE77" s="120" t="str">
        <f t="shared" si="90"/>
        <v/>
      </c>
      <c r="AF77" s="116"/>
      <c r="AG77" s="121"/>
      <c r="AH77" s="122"/>
      <c r="AI77" s="123"/>
      <c r="AJ77" s="123"/>
      <c r="AK77" s="121"/>
      <c r="AL77" s="122"/>
    </row>
    <row r="78" spans="1:38" x14ac:dyDescent="0.3">
      <c r="A78" s="211"/>
      <c r="B78" s="139"/>
      <c r="C78" s="139"/>
      <c r="D78" s="212"/>
      <c r="E78" s="204"/>
      <c r="F78" s="141"/>
      <c r="G78" s="212"/>
      <c r="H78" s="140"/>
      <c r="I78" s="213"/>
      <c r="J78" s="200"/>
      <c r="K78" s="201"/>
      <c r="L78" s="203"/>
      <c r="M78" s="201">
        <f>IF(NOT(ISERROR(MATCH(L78,_xlfn.ANCHORARRAY(E89),0))),K91&amp;"Por favor no seleccionar los criterios de impacto",L78)</f>
        <v>0</v>
      </c>
      <c r="N78" s="200"/>
      <c r="O78" s="201"/>
      <c r="P78" s="202"/>
      <c r="Q78" s="113">
        <v>4</v>
      </c>
      <c r="R78" s="114"/>
      <c r="S78" s="115" t="str">
        <f t="shared" ref="S78:S80" si="91">IF(OR(T78="Preventivo",T78="Detectivo"),"Probabilidad",IF(T78="Correctivo","Impacto",""))</f>
        <v/>
      </c>
      <c r="T78" s="116"/>
      <c r="U78" s="116"/>
      <c r="V78" s="117" t="str">
        <f t="shared" si="86"/>
        <v/>
      </c>
      <c r="W78" s="116"/>
      <c r="X78" s="116"/>
      <c r="Y78" s="116"/>
      <c r="Z78" s="118" t="str">
        <f t="shared" ref="Z78:Z80" si="92">IFERROR(IF(AND(S77="Probabilidad",S78="Probabilidad"),(AB77-(+AB77*V78)),IF(AND(S77="Impacto",S78="Probabilidad"),(AB76-(+AB76*V78)),IF(S78="Impacto",AB77,""))),"")</f>
        <v/>
      </c>
      <c r="AA78" s="119" t="str">
        <f t="shared" si="87"/>
        <v/>
      </c>
      <c r="AB78" s="117" t="str">
        <f t="shared" si="88"/>
        <v/>
      </c>
      <c r="AC78" s="119" t="str">
        <f t="shared" si="89"/>
        <v/>
      </c>
      <c r="AD78" s="117" t="str">
        <f t="shared" ref="AD78:AD80" si="93">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38" x14ac:dyDescent="0.3">
      <c r="A79" s="211"/>
      <c r="B79" s="139"/>
      <c r="C79" s="139"/>
      <c r="D79" s="212"/>
      <c r="E79" s="204"/>
      <c r="F79" s="141"/>
      <c r="G79" s="212"/>
      <c r="H79" s="140"/>
      <c r="I79" s="213"/>
      <c r="J79" s="200"/>
      <c r="K79" s="201"/>
      <c r="L79" s="203"/>
      <c r="M79" s="201">
        <f>IF(NOT(ISERROR(MATCH(L79,_xlfn.ANCHORARRAY(E90),0))),K92&amp;"Por favor no seleccionar los criterios de impacto",L79)</f>
        <v>0</v>
      </c>
      <c r="N79" s="200"/>
      <c r="O79" s="201"/>
      <c r="P79" s="202"/>
      <c r="Q79" s="113">
        <v>5</v>
      </c>
      <c r="R79" s="114"/>
      <c r="S79" s="115" t="str">
        <f t="shared" si="91"/>
        <v/>
      </c>
      <c r="T79" s="116"/>
      <c r="U79" s="116"/>
      <c r="V79" s="117" t="str">
        <f t="shared" si="86"/>
        <v/>
      </c>
      <c r="W79" s="116"/>
      <c r="X79" s="116"/>
      <c r="Y79" s="116"/>
      <c r="Z79" s="118" t="str">
        <f t="shared" si="92"/>
        <v/>
      </c>
      <c r="AA79" s="119" t="str">
        <f t="shared" si="87"/>
        <v/>
      </c>
      <c r="AB79" s="117" t="str">
        <f t="shared" si="88"/>
        <v/>
      </c>
      <c r="AC79" s="119" t="str">
        <f t="shared" si="89"/>
        <v/>
      </c>
      <c r="AD79" s="117" t="str">
        <f t="shared" si="93"/>
        <v/>
      </c>
      <c r="AE79" s="120" t="str">
        <f t="shared" ref="AE79:AE80" si="94">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38" x14ac:dyDescent="0.3">
      <c r="A80" s="211"/>
      <c r="B80" s="139"/>
      <c r="C80" s="139"/>
      <c r="D80" s="212"/>
      <c r="E80" s="204"/>
      <c r="F80" s="141"/>
      <c r="G80" s="212"/>
      <c r="H80" s="140"/>
      <c r="I80" s="213"/>
      <c r="J80" s="200"/>
      <c r="K80" s="201"/>
      <c r="L80" s="203"/>
      <c r="M80" s="201">
        <f>IF(NOT(ISERROR(MATCH(L80,_xlfn.ANCHORARRAY(E91),0))),K93&amp;"Por favor no seleccionar los criterios de impacto",L80)</f>
        <v>0</v>
      </c>
      <c r="N80" s="200"/>
      <c r="O80" s="201"/>
      <c r="P80" s="202"/>
      <c r="Q80" s="113">
        <v>6</v>
      </c>
      <c r="R80" s="114"/>
      <c r="S80" s="115" t="str">
        <f t="shared" si="91"/>
        <v/>
      </c>
      <c r="T80" s="116"/>
      <c r="U80" s="116"/>
      <c r="V80" s="117" t="str">
        <f t="shared" si="86"/>
        <v/>
      </c>
      <c r="W80" s="116"/>
      <c r="X80" s="116"/>
      <c r="Y80" s="116"/>
      <c r="Z80" s="118" t="str">
        <f t="shared" si="92"/>
        <v/>
      </c>
      <c r="AA80" s="119" t="str">
        <f t="shared" si="87"/>
        <v/>
      </c>
      <c r="AB80" s="117" t="str">
        <f t="shared" si="88"/>
        <v/>
      </c>
      <c r="AC80" s="119" t="str">
        <f t="shared" si="89"/>
        <v/>
      </c>
      <c r="AD80" s="117" t="str">
        <f t="shared" si="93"/>
        <v/>
      </c>
      <c r="AE80" s="120" t="str">
        <f t="shared" si="94"/>
        <v/>
      </c>
      <c r="AF80" s="116"/>
      <c r="AG80" s="121"/>
      <c r="AH80" s="122"/>
      <c r="AI80" s="123"/>
      <c r="AJ80" s="123"/>
      <c r="AK80" s="121"/>
      <c r="AL80" s="122"/>
    </row>
    <row r="81" spans="1:38" x14ac:dyDescent="0.3">
      <c r="A81" s="211">
        <v>3</v>
      </c>
      <c r="B81" s="139"/>
      <c r="C81" s="139"/>
      <c r="D81" s="212"/>
      <c r="E81" s="204"/>
      <c r="F81" s="141"/>
      <c r="G81" s="212"/>
      <c r="H81" s="140"/>
      <c r="I81" s="213"/>
      <c r="J81" s="200" t="str">
        <f>IF(I81&lt;=0,"",IF(I81&lt;=2,"Muy Baja",IF(I81&lt;=24,"Baja",IF(I81&lt;=500,"Media",IF(I81&lt;=5000,"Alta","Muy Alta")))))</f>
        <v/>
      </c>
      <c r="K81" s="201" t="str">
        <f>IF(J81="","",IF(J81="Muy Baja",0.2,IF(J81="Baja",0.4,IF(J81="Media",0.6,IF(J81="Alta",0.8,IF(J81="Muy Alta",1,))))))</f>
        <v/>
      </c>
      <c r="L81" s="203"/>
      <c r="M81" s="201">
        <f>IF(NOT(ISERROR(MATCH(L81,'Tabla Impacto'!$B$221:$B$223,0))),'Tabla Impacto'!$F$223&amp;"Por favor no seleccionar los criterios de impacto(Afectación Económica o presupuestal y Pérdida Reputacional)",L81)</f>
        <v>0</v>
      </c>
      <c r="N81" s="200" t="str">
        <f>IF(OR(M81='Tabla Impacto'!$C$11,M81='Tabla Impacto'!$D$11),"Leve",IF(OR(M81='Tabla Impacto'!$C$12,M81='Tabla Impacto'!$D$12),"Menor",IF(OR(M81='Tabla Impacto'!$C$13,M81='Tabla Impacto'!$D$13),"Moderado",IF(OR(M81='Tabla Impacto'!$C$14,M81='Tabla Impacto'!$D$14),"Mayor",IF(OR(M81='Tabla Impacto'!$C$15,M81='Tabla Impacto'!$D$15),"Catastrófico","")))))</f>
        <v/>
      </c>
      <c r="O81" s="201" t="str">
        <f>IF(N81="","",IF(N81="Leve",0.2,IF(N81="Menor",0.4,IF(N81="Moderado",0.6,IF(N81="Mayor",0.8,IF(N81="Catastrófico",1,))))))</f>
        <v/>
      </c>
      <c r="P81" s="202" t="str">
        <f>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11"/>
      <c r="B82" s="139"/>
      <c r="C82" s="139"/>
      <c r="D82" s="212"/>
      <c r="E82" s="204"/>
      <c r="F82" s="141"/>
      <c r="G82" s="212"/>
      <c r="H82" s="140"/>
      <c r="I82" s="213"/>
      <c r="J82" s="200"/>
      <c r="K82" s="201"/>
      <c r="L82" s="203"/>
      <c r="M82" s="201">
        <f t="shared" ref="M82:M86" si="95">IF(NOT(ISERROR(MATCH(L82,_xlfn.ANCHORARRAY(E93),0))),K95&amp;"Por favor no seleccionar los criterios de impacto",L82)</f>
        <v>0</v>
      </c>
      <c r="N82" s="200"/>
      <c r="O82" s="201"/>
      <c r="P82" s="202"/>
      <c r="Q82" s="113">
        <v>2</v>
      </c>
      <c r="R82" s="114"/>
      <c r="S82" s="115" t="str">
        <f>IF(OR(T82="Preventivo",T82="Detectivo"),"Probabilidad",IF(T82="Correctivo","Impacto",""))</f>
        <v/>
      </c>
      <c r="T82" s="116"/>
      <c r="U82" s="116"/>
      <c r="V82" s="117" t="str">
        <f t="shared" ref="V82:V86" si="96">IF(AND(T82="Preventivo",U82="Automático"),"50%",IF(AND(T82="Preventivo",U82="Manual"),"40%",IF(AND(T82="Detectivo",U82="Automático"),"40%",IF(AND(T82="Detectivo",U82="Manual"),"30%",IF(AND(T82="Correctivo",U82="Automático"),"35%",IF(AND(T82="Correctivo",U82="Manual"),"25%",""))))))</f>
        <v/>
      </c>
      <c r="W82" s="116"/>
      <c r="X82" s="116"/>
      <c r="Y82" s="116"/>
      <c r="Z82" s="127" t="str">
        <f>IFERROR(IF(AND(S81="Probabilidad",S82="Probabilidad"),(AB81-(+AB81*V82)),IF(S82="Probabilidad",(K81-(+K81*V82)),IF(S82="Impacto",AB81,""))),"")</f>
        <v/>
      </c>
      <c r="AA82" s="119" t="str">
        <f t="shared" ref="AA82:AA86" si="97">IFERROR(IF(Z82="","",IF(Z82&lt;=0.2,"Muy Baja",IF(Z82&lt;=0.4,"Baja",IF(Z82&lt;=0.6,"Media",IF(Z82&lt;=0.8,"Alta","Muy Alta"))))),"")</f>
        <v/>
      </c>
      <c r="AB82" s="117" t="str">
        <f t="shared" ref="AB82:AB86" si="98">+Z82</f>
        <v/>
      </c>
      <c r="AC82" s="119" t="str">
        <f t="shared" ref="AC82:AC86" si="99">IFERROR(IF(AD82="","",IF(AD82&lt;=0.2,"Leve",IF(AD82&lt;=0.4,"Menor",IF(AD82&lt;=0.6,"Moderado",IF(AD82&lt;=0.8,"Mayor","Catastrófico"))))),"")</f>
        <v/>
      </c>
      <c r="AD82" s="117" t="str">
        <f>IFERROR(IF(AND(S81="Impacto",S82="Impacto"),(AD75-(+AD75*V82)),IF(S82="Impacto",($O$21-(+$O$21*V82)),IF(S82="Probabilidad",AD75,""))),"")</f>
        <v/>
      </c>
      <c r="AE82" s="120" t="str">
        <f t="shared" ref="AE82:AE83" si="100">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11"/>
      <c r="B83" s="139"/>
      <c r="C83" s="139"/>
      <c r="D83" s="212"/>
      <c r="E83" s="204"/>
      <c r="F83" s="141"/>
      <c r="G83" s="212"/>
      <c r="H83" s="140"/>
      <c r="I83" s="213"/>
      <c r="J83" s="200"/>
      <c r="K83" s="201"/>
      <c r="L83" s="203"/>
      <c r="M83" s="201">
        <f t="shared" si="95"/>
        <v>0</v>
      </c>
      <c r="N83" s="200"/>
      <c r="O83" s="201"/>
      <c r="P83" s="202"/>
      <c r="Q83" s="113">
        <v>3</v>
      </c>
      <c r="R83" s="126"/>
      <c r="S83" s="115" t="str">
        <f>IF(OR(T83="Preventivo",T83="Detectivo"),"Probabilidad",IF(T83="Correctivo","Impacto",""))</f>
        <v/>
      </c>
      <c r="T83" s="116"/>
      <c r="U83" s="116"/>
      <c r="V83" s="117" t="str">
        <f t="shared" si="96"/>
        <v/>
      </c>
      <c r="W83" s="116"/>
      <c r="X83" s="116"/>
      <c r="Y83" s="116"/>
      <c r="Z83" s="118" t="str">
        <f>IFERROR(IF(AND(S82="Probabilidad",S83="Probabilidad"),(AB82-(+AB82*V83)),IF(AND(S82="Impacto",S83="Probabilidad"),(AB81-(+AB81*V83)),IF(S83="Impacto",AB82,""))),"")</f>
        <v/>
      </c>
      <c r="AA83" s="119" t="str">
        <f t="shared" si="97"/>
        <v/>
      </c>
      <c r="AB83" s="117" t="str">
        <f t="shared" si="98"/>
        <v/>
      </c>
      <c r="AC83" s="119" t="str">
        <f t="shared" si="99"/>
        <v/>
      </c>
      <c r="AD83" s="117" t="str">
        <f>IFERROR(IF(AND(S82="Impacto",S83="Impacto"),(AD82-(+AD82*V83)),IF(AND(S82="Probabilidad",S83="Impacto"),(AD81-(+AD81*V83)),IF(S83="Probabilidad",AD82,""))),"")</f>
        <v/>
      </c>
      <c r="AE83" s="120" t="str">
        <f t="shared" si="100"/>
        <v/>
      </c>
      <c r="AF83" s="116"/>
      <c r="AG83" s="121"/>
      <c r="AH83" s="122"/>
      <c r="AI83" s="123"/>
      <c r="AJ83" s="123"/>
      <c r="AK83" s="121"/>
      <c r="AL83" s="122"/>
    </row>
    <row r="84" spans="1:38" x14ac:dyDescent="0.3">
      <c r="A84" s="211"/>
      <c r="B84" s="139"/>
      <c r="C84" s="139"/>
      <c r="D84" s="212"/>
      <c r="E84" s="204"/>
      <c r="F84" s="141"/>
      <c r="G84" s="212"/>
      <c r="H84" s="140"/>
      <c r="I84" s="213"/>
      <c r="J84" s="200"/>
      <c r="K84" s="201"/>
      <c r="L84" s="203"/>
      <c r="M84" s="201">
        <f t="shared" si="95"/>
        <v>0</v>
      </c>
      <c r="N84" s="200"/>
      <c r="O84" s="201"/>
      <c r="P84" s="202"/>
      <c r="Q84" s="113">
        <v>4</v>
      </c>
      <c r="R84" s="114"/>
      <c r="S84" s="115" t="str">
        <f t="shared" ref="S84:S86" si="101">IF(OR(T84="Preventivo",T84="Detectivo"),"Probabilidad",IF(T84="Correctivo","Impacto",""))</f>
        <v/>
      </c>
      <c r="T84" s="116"/>
      <c r="U84" s="116"/>
      <c r="V84" s="117" t="str">
        <f t="shared" si="96"/>
        <v/>
      </c>
      <c r="W84" s="116"/>
      <c r="X84" s="116"/>
      <c r="Y84" s="116"/>
      <c r="Z84" s="118" t="str">
        <f t="shared" ref="Z84:Z86" si="102">IFERROR(IF(AND(S83="Probabilidad",S84="Probabilidad"),(AB83-(+AB83*V84)),IF(AND(S83="Impacto",S84="Probabilidad"),(AB82-(+AB82*V84)),IF(S84="Impacto",AB83,""))),"")</f>
        <v/>
      </c>
      <c r="AA84" s="119" t="str">
        <f t="shared" si="97"/>
        <v/>
      </c>
      <c r="AB84" s="117" t="str">
        <f t="shared" si="98"/>
        <v/>
      </c>
      <c r="AC84" s="119" t="str">
        <f t="shared" si="99"/>
        <v/>
      </c>
      <c r="AD84" s="117" t="str">
        <f t="shared" ref="AD84:AD86" si="103">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11"/>
      <c r="B85" s="139"/>
      <c r="C85" s="139"/>
      <c r="D85" s="212"/>
      <c r="E85" s="204"/>
      <c r="F85" s="141"/>
      <c r="G85" s="212"/>
      <c r="H85" s="140"/>
      <c r="I85" s="213"/>
      <c r="J85" s="200"/>
      <c r="K85" s="201"/>
      <c r="L85" s="203"/>
      <c r="M85" s="201">
        <f t="shared" si="95"/>
        <v>0</v>
      </c>
      <c r="N85" s="200"/>
      <c r="O85" s="201"/>
      <c r="P85" s="202"/>
      <c r="Q85" s="113">
        <v>5</v>
      </c>
      <c r="R85" s="114"/>
      <c r="S85" s="115" t="str">
        <f t="shared" si="101"/>
        <v/>
      </c>
      <c r="T85" s="116"/>
      <c r="U85" s="116"/>
      <c r="V85" s="117" t="str">
        <f t="shared" si="96"/>
        <v/>
      </c>
      <c r="W85" s="116"/>
      <c r="X85" s="116"/>
      <c r="Y85" s="116"/>
      <c r="Z85" s="118" t="str">
        <f t="shared" si="102"/>
        <v/>
      </c>
      <c r="AA85" s="119" t="str">
        <f t="shared" si="97"/>
        <v/>
      </c>
      <c r="AB85" s="117" t="str">
        <f t="shared" si="98"/>
        <v/>
      </c>
      <c r="AC85" s="119" t="str">
        <f t="shared" si="99"/>
        <v/>
      </c>
      <c r="AD85" s="117" t="str">
        <f t="shared" si="103"/>
        <v/>
      </c>
      <c r="AE85" s="120" t="str">
        <f t="shared" ref="AE85:AE86" si="104">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11"/>
      <c r="B86" s="139"/>
      <c r="C86" s="139"/>
      <c r="D86" s="212"/>
      <c r="E86" s="204"/>
      <c r="F86" s="141"/>
      <c r="G86" s="212"/>
      <c r="H86" s="140"/>
      <c r="I86" s="213"/>
      <c r="J86" s="200"/>
      <c r="K86" s="201"/>
      <c r="L86" s="203"/>
      <c r="M86" s="201">
        <f t="shared" si="95"/>
        <v>0</v>
      </c>
      <c r="N86" s="200"/>
      <c r="O86" s="201"/>
      <c r="P86" s="202"/>
      <c r="Q86" s="113">
        <v>6</v>
      </c>
      <c r="R86" s="114"/>
      <c r="S86" s="115" t="str">
        <f t="shared" si="101"/>
        <v/>
      </c>
      <c r="T86" s="116"/>
      <c r="U86" s="116"/>
      <c r="V86" s="117" t="str">
        <f t="shared" si="96"/>
        <v/>
      </c>
      <c r="W86" s="116"/>
      <c r="X86" s="116"/>
      <c r="Y86" s="116"/>
      <c r="Z86" s="118" t="str">
        <f t="shared" si="102"/>
        <v/>
      </c>
      <c r="AA86" s="119" t="str">
        <f t="shared" si="97"/>
        <v/>
      </c>
      <c r="AB86" s="117" t="str">
        <f t="shared" si="98"/>
        <v/>
      </c>
      <c r="AC86" s="119" t="str">
        <f t="shared" si="99"/>
        <v/>
      </c>
      <c r="AD86" s="117" t="str">
        <f t="shared" si="103"/>
        <v/>
      </c>
      <c r="AE86" s="120" t="str">
        <f t="shared" si="104"/>
        <v/>
      </c>
      <c r="AF86" s="116"/>
      <c r="AG86" s="121"/>
      <c r="AH86" s="122"/>
      <c r="AI86" s="123"/>
      <c r="AJ86" s="123"/>
      <c r="AK86" s="121"/>
      <c r="AL86" s="122"/>
    </row>
    <row r="87" spans="1:38" x14ac:dyDescent="0.3">
      <c r="A87" s="211">
        <v>4</v>
      </c>
      <c r="B87" s="139"/>
      <c r="C87" s="139"/>
      <c r="D87" s="212"/>
      <c r="E87" s="204"/>
      <c r="F87" s="141"/>
      <c r="G87" s="212"/>
      <c r="H87" s="140"/>
      <c r="I87" s="213"/>
      <c r="J87" s="200" t="str">
        <f>IF(I87&lt;=0,"",IF(I87&lt;=2,"Muy Baja",IF(I87&lt;=24,"Baja",IF(I87&lt;=500,"Media",IF(I87&lt;=5000,"Alta","Muy Alta")))))</f>
        <v/>
      </c>
      <c r="K87" s="201" t="str">
        <f>IF(J87="","",IF(J87="Muy Baja",0.2,IF(J87="Baja",0.4,IF(J87="Media",0.6,IF(J87="Alta",0.8,IF(J87="Muy Alta",1,))))))</f>
        <v/>
      </c>
      <c r="L87" s="203"/>
      <c r="M87" s="201">
        <f>IF(NOT(ISERROR(MATCH(L87,'Tabla Impacto'!$B$221:$B$223,0))),'Tabla Impacto'!$F$223&amp;"Por favor no seleccionar los criterios de impacto(Afectación Económica o presupuestal y Pérdida Reputacional)",L87)</f>
        <v>0</v>
      </c>
      <c r="N87" s="200" t="str">
        <f>IF(OR(M87='Tabla Impacto'!$C$11,M87='Tabla Impacto'!$D$11),"Leve",IF(OR(M87='Tabla Impacto'!$C$12,M87='Tabla Impacto'!$D$12),"Menor",IF(OR(M87='Tabla Impacto'!$C$13,M87='Tabla Impacto'!$D$13),"Moderado",IF(OR(M87='Tabla Impacto'!$C$14,M87='Tabla Impacto'!$D$14),"Mayor",IF(OR(M87='Tabla Impacto'!$C$15,M87='Tabla Impacto'!$D$15),"Catastrófico","")))))</f>
        <v/>
      </c>
      <c r="O87" s="201" t="str">
        <f>IF(N87="","",IF(N87="Leve",0.2,IF(N87="Menor",0.4,IF(N87="Moderado",0.6,IF(N87="Mayor",0.8,IF(N87="Catastrófico",1,))))))</f>
        <v/>
      </c>
      <c r="P87" s="202" t="str">
        <f>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11"/>
      <c r="B88" s="139"/>
      <c r="C88" s="139"/>
      <c r="D88" s="212"/>
      <c r="E88" s="204"/>
      <c r="F88" s="141"/>
      <c r="G88" s="212"/>
      <c r="H88" s="140"/>
      <c r="I88" s="213"/>
      <c r="J88" s="200"/>
      <c r="K88" s="201"/>
      <c r="L88" s="203"/>
      <c r="M88" s="201">
        <f t="shared" ref="M88:M92" si="105">IF(NOT(ISERROR(MATCH(L88,_xlfn.ANCHORARRAY(E99),0))),K101&amp;"Por favor no seleccionar los criterios de impacto",L88)</f>
        <v>0</v>
      </c>
      <c r="N88" s="200"/>
      <c r="O88" s="201"/>
      <c r="P88" s="202"/>
      <c r="Q88" s="113">
        <v>2</v>
      </c>
      <c r="R88" s="114"/>
      <c r="S88" s="115" t="str">
        <f>IF(OR(T88="Preventivo",T88="Detectivo"),"Probabilidad",IF(T88="Correctivo","Impacto",""))</f>
        <v/>
      </c>
      <c r="T88" s="116"/>
      <c r="U88" s="116"/>
      <c r="V88" s="117" t="str">
        <f t="shared" ref="V88:V92" si="106">IF(AND(T88="Preventivo",U88="Automático"),"50%",IF(AND(T88="Preventivo",U88="Manual"),"40%",IF(AND(T88="Detectivo",U88="Automático"),"40%",IF(AND(T88="Detectivo",U88="Manual"),"30%",IF(AND(T88="Correctivo",U88="Automático"),"35%",IF(AND(T88="Correctivo",U88="Manual"),"25%",""))))))</f>
        <v/>
      </c>
      <c r="W88" s="116"/>
      <c r="X88" s="116"/>
      <c r="Y88" s="116"/>
      <c r="Z88" s="118" t="str">
        <f>IFERROR(IF(AND(S87="Probabilidad",S88="Probabilidad"),(AB87-(+AB87*V88)),IF(S88="Probabilidad",(K87-(+K87*V88)),IF(S88="Impacto",AB87,""))),"")</f>
        <v/>
      </c>
      <c r="AA88" s="119" t="str">
        <f t="shared" ref="AA88:AA90" si="107">IFERROR(IF(Z88="","",IF(Z88&lt;=0.2,"Muy Baja",IF(Z88&lt;=0.4,"Baja",IF(Z88&lt;=0.6,"Media",IF(Z88&lt;=0.8,"Alta","Muy Alta"))))),"")</f>
        <v/>
      </c>
      <c r="AB88" s="117" t="str">
        <f t="shared" ref="AB88:AB92" si="108">+Z88</f>
        <v/>
      </c>
      <c r="AC88" s="119" t="str">
        <f t="shared" ref="AC88:AC92" si="109">IFERROR(IF(AD88="","",IF(AD88&lt;=0.2,"Leve",IF(AD88&lt;=0.4,"Menor",IF(AD88&lt;=0.6,"Moderado",IF(AD88&lt;=0.8,"Mayor","Catastrófico"))))),"")</f>
        <v/>
      </c>
      <c r="AD88" s="117" t="str">
        <f>IFERROR(IF(AND(S87="Impacto",S88="Impacto"),(AD81-(+AD81*V88)),IF(S88="Impacto",($O$27-(+$O$27*V88)),IF(S88="Probabilidad",AD81,""))),"")</f>
        <v/>
      </c>
      <c r="AE88" s="120" t="str">
        <f t="shared" ref="AE88:AE89" si="110">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11"/>
      <c r="B89" s="139"/>
      <c r="C89" s="139"/>
      <c r="D89" s="212"/>
      <c r="E89" s="204"/>
      <c r="F89" s="141"/>
      <c r="G89" s="212"/>
      <c r="H89" s="140"/>
      <c r="I89" s="213"/>
      <c r="J89" s="200"/>
      <c r="K89" s="201"/>
      <c r="L89" s="203"/>
      <c r="M89" s="201">
        <f t="shared" si="105"/>
        <v>0</v>
      </c>
      <c r="N89" s="200"/>
      <c r="O89" s="201"/>
      <c r="P89" s="202"/>
      <c r="Q89" s="113">
        <v>3</v>
      </c>
      <c r="R89" s="126"/>
      <c r="S89" s="115" t="str">
        <f>IF(OR(T89="Preventivo",T89="Detectivo"),"Probabilidad",IF(T89="Correctivo","Impacto",""))</f>
        <v/>
      </c>
      <c r="T89" s="116"/>
      <c r="U89" s="116"/>
      <c r="V89" s="117" t="str">
        <f t="shared" si="106"/>
        <v/>
      </c>
      <c r="W89" s="116"/>
      <c r="X89" s="116"/>
      <c r="Y89" s="116"/>
      <c r="Z89" s="118" t="str">
        <f>IFERROR(IF(AND(S88="Probabilidad",S89="Probabilidad"),(AB88-(+AB88*V89)),IF(AND(S88="Impacto",S89="Probabilidad"),(AB87-(+AB87*V89)),IF(S89="Impacto",AB88,""))),"")</f>
        <v/>
      </c>
      <c r="AA89" s="119" t="str">
        <f t="shared" si="107"/>
        <v/>
      </c>
      <c r="AB89" s="117" t="str">
        <f t="shared" si="108"/>
        <v/>
      </c>
      <c r="AC89" s="119" t="str">
        <f t="shared" si="109"/>
        <v/>
      </c>
      <c r="AD89" s="117" t="str">
        <f>IFERROR(IF(AND(S88="Impacto",S89="Impacto"),(AD88-(+AD88*V89)),IF(AND(S88="Probabilidad",S89="Impacto"),(AD87-(+AD87*V89)),IF(S89="Probabilidad",AD88,""))),"")</f>
        <v/>
      </c>
      <c r="AE89" s="120" t="str">
        <f t="shared" si="110"/>
        <v/>
      </c>
      <c r="AF89" s="116"/>
      <c r="AG89" s="121"/>
      <c r="AH89" s="122"/>
      <c r="AI89" s="123"/>
      <c r="AJ89" s="123"/>
      <c r="AK89" s="121"/>
      <c r="AL89" s="122"/>
    </row>
    <row r="90" spans="1:38" x14ac:dyDescent="0.3">
      <c r="A90" s="211"/>
      <c r="B90" s="139"/>
      <c r="C90" s="139"/>
      <c r="D90" s="212"/>
      <c r="E90" s="204"/>
      <c r="F90" s="141"/>
      <c r="G90" s="212"/>
      <c r="H90" s="140"/>
      <c r="I90" s="213"/>
      <c r="J90" s="200"/>
      <c r="K90" s="201"/>
      <c r="L90" s="203"/>
      <c r="M90" s="201">
        <f t="shared" si="105"/>
        <v>0</v>
      </c>
      <c r="N90" s="200"/>
      <c r="O90" s="201"/>
      <c r="P90" s="202"/>
      <c r="Q90" s="113">
        <v>4</v>
      </c>
      <c r="R90" s="114"/>
      <c r="S90" s="115" t="str">
        <f t="shared" ref="S90:S92" si="111">IF(OR(T90="Preventivo",T90="Detectivo"),"Probabilidad",IF(T90="Correctivo","Impacto",""))</f>
        <v/>
      </c>
      <c r="T90" s="116"/>
      <c r="U90" s="116"/>
      <c r="V90" s="117" t="str">
        <f t="shared" si="106"/>
        <v/>
      </c>
      <c r="W90" s="116"/>
      <c r="X90" s="116"/>
      <c r="Y90" s="116"/>
      <c r="Z90" s="118" t="str">
        <f t="shared" ref="Z90:Z92" si="112">IFERROR(IF(AND(S89="Probabilidad",S90="Probabilidad"),(AB89-(+AB89*V90)),IF(AND(S89="Impacto",S90="Probabilidad"),(AB88-(+AB88*V90)),IF(S90="Impacto",AB89,""))),"")</f>
        <v/>
      </c>
      <c r="AA90" s="119" t="str">
        <f t="shared" si="107"/>
        <v/>
      </c>
      <c r="AB90" s="117" t="str">
        <f t="shared" si="108"/>
        <v/>
      </c>
      <c r="AC90" s="119" t="str">
        <f t="shared" si="109"/>
        <v/>
      </c>
      <c r="AD90" s="117" t="str">
        <f t="shared" ref="AD90:AD92" si="113">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11"/>
      <c r="B91" s="139"/>
      <c r="C91" s="139"/>
      <c r="D91" s="212"/>
      <c r="E91" s="204"/>
      <c r="F91" s="141"/>
      <c r="G91" s="212"/>
      <c r="H91" s="140"/>
      <c r="I91" s="213"/>
      <c r="J91" s="200"/>
      <c r="K91" s="201"/>
      <c r="L91" s="203"/>
      <c r="M91" s="201">
        <f t="shared" si="105"/>
        <v>0</v>
      </c>
      <c r="N91" s="200"/>
      <c r="O91" s="201"/>
      <c r="P91" s="202"/>
      <c r="Q91" s="113">
        <v>5</v>
      </c>
      <c r="R91" s="114"/>
      <c r="S91" s="115" t="str">
        <f t="shared" si="111"/>
        <v/>
      </c>
      <c r="T91" s="116"/>
      <c r="U91" s="116"/>
      <c r="V91" s="117" t="str">
        <f t="shared" si="106"/>
        <v/>
      </c>
      <c r="W91" s="116"/>
      <c r="X91" s="116"/>
      <c r="Y91" s="116"/>
      <c r="Z91" s="127" t="str">
        <f t="shared" si="112"/>
        <v/>
      </c>
      <c r="AA91" s="119" t="str">
        <f>IFERROR(IF(Z91="","",IF(Z91&lt;=0.2,"Muy Baja",IF(Z91&lt;=0.4,"Baja",IF(Z91&lt;=0.6,"Media",IF(Z91&lt;=0.8,"Alta","Muy Alta"))))),"")</f>
        <v/>
      </c>
      <c r="AB91" s="117" t="str">
        <f t="shared" si="108"/>
        <v/>
      </c>
      <c r="AC91" s="119" t="str">
        <f t="shared" si="109"/>
        <v/>
      </c>
      <c r="AD91" s="117" t="str">
        <f t="shared" si="113"/>
        <v/>
      </c>
      <c r="AE91" s="120" t="str">
        <f t="shared" ref="AE91:AE92" si="114">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11"/>
      <c r="B92" s="139"/>
      <c r="C92" s="139"/>
      <c r="D92" s="212"/>
      <c r="E92" s="204"/>
      <c r="F92" s="141"/>
      <c r="G92" s="212"/>
      <c r="H92" s="140"/>
      <c r="I92" s="213"/>
      <c r="J92" s="200"/>
      <c r="K92" s="201"/>
      <c r="L92" s="203"/>
      <c r="M92" s="201">
        <f t="shared" si="105"/>
        <v>0</v>
      </c>
      <c r="N92" s="200"/>
      <c r="O92" s="201"/>
      <c r="P92" s="202"/>
      <c r="Q92" s="113">
        <v>6</v>
      </c>
      <c r="R92" s="114"/>
      <c r="S92" s="115" t="str">
        <f t="shared" si="111"/>
        <v/>
      </c>
      <c r="T92" s="116"/>
      <c r="U92" s="116"/>
      <c r="V92" s="117" t="str">
        <f t="shared" si="106"/>
        <v/>
      </c>
      <c r="W92" s="116"/>
      <c r="X92" s="116"/>
      <c r="Y92" s="116"/>
      <c r="Z92" s="118" t="str">
        <f t="shared" si="112"/>
        <v/>
      </c>
      <c r="AA92" s="119" t="str">
        <f t="shared" ref="AA92" si="115">IFERROR(IF(Z92="","",IF(Z92&lt;=0.2,"Muy Baja",IF(Z92&lt;=0.4,"Baja",IF(Z92&lt;=0.6,"Media",IF(Z92&lt;=0.8,"Alta","Muy Alta"))))),"")</f>
        <v/>
      </c>
      <c r="AB92" s="117" t="str">
        <f t="shared" si="108"/>
        <v/>
      </c>
      <c r="AC92" s="119" t="str">
        <f t="shared" si="109"/>
        <v/>
      </c>
      <c r="AD92" s="117" t="str">
        <f t="shared" si="113"/>
        <v/>
      </c>
      <c r="AE92" s="120" t="str">
        <f t="shared" si="114"/>
        <v/>
      </c>
      <c r="AF92" s="116"/>
      <c r="AG92" s="121"/>
      <c r="AH92" s="122"/>
      <c r="AI92" s="123"/>
      <c r="AJ92" s="123"/>
      <c r="AK92" s="121"/>
      <c r="AL92" s="122"/>
    </row>
    <row r="93" spans="1:38" x14ac:dyDescent="0.3">
      <c r="A93" s="211">
        <v>5</v>
      </c>
      <c r="B93" s="139"/>
      <c r="C93" s="139"/>
      <c r="D93" s="212"/>
      <c r="E93" s="204"/>
      <c r="F93" s="141"/>
      <c r="G93" s="212"/>
      <c r="H93" s="140"/>
      <c r="I93" s="213"/>
      <c r="J93" s="200" t="str">
        <f>IF(I93&lt;=0,"",IF(I93&lt;=2,"Muy Baja",IF(I93&lt;=24,"Baja",IF(I93&lt;=500,"Media",IF(I93&lt;=5000,"Alta","Muy Alta")))))</f>
        <v/>
      </c>
      <c r="K93" s="201" t="str">
        <f>IF(J93="","",IF(J93="Muy Baja",0.2,IF(J93="Baja",0.4,IF(J93="Media",0.6,IF(J93="Alta",0.8,IF(J93="Muy Alta",1,))))))</f>
        <v/>
      </c>
      <c r="L93" s="203"/>
      <c r="M93" s="201">
        <f>IF(NOT(ISERROR(MATCH(L93,'Tabla Impacto'!$B$221:$B$223,0))),'Tabla Impacto'!$F$223&amp;"Por favor no seleccionar los criterios de impacto(Afectación Económica o presupuestal y Pérdida Reputacional)",L93)</f>
        <v>0</v>
      </c>
      <c r="N93" s="200" t="str">
        <f>IF(OR(M93='Tabla Impacto'!$C$11,M93='Tabla Impacto'!$D$11),"Leve",IF(OR(M93='Tabla Impacto'!$C$12,M93='Tabla Impacto'!$D$12),"Menor",IF(OR(M93='Tabla Impacto'!$C$13,M93='Tabla Impacto'!$D$13),"Moderado",IF(OR(M93='Tabla Impacto'!$C$14,M93='Tabla Impacto'!$D$14),"Mayor",IF(OR(M93='Tabla Impacto'!$C$15,M93='Tabla Impacto'!$D$15),"Catastrófico","")))))</f>
        <v/>
      </c>
      <c r="O93" s="201" t="str">
        <f>IF(N93="","",IF(N93="Leve",0.2,IF(N93="Menor",0.4,IF(N93="Moderado",0.6,IF(N93="Mayor",0.8,IF(N93="Catastrófico",1,))))))</f>
        <v/>
      </c>
      <c r="P93" s="202" t="str">
        <f>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11"/>
      <c r="B94" s="139"/>
      <c r="C94" s="139"/>
      <c r="D94" s="212"/>
      <c r="E94" s="204"/>
      <c r="F94" s="141"/>
      <c r="G94" s="212"/>
      <c r="H94" s="140"/>
      <c r="I94" s="213"/>
      <c r="J94" s="200"/>
      <c r="K94" s="201"/>
      <c r="L94" s="203"/>
      <c r="M94" s="201">
        <f t="shared" ref="M94:M98" si="116">IF(NOT(ISERROR(MATCH(L94,_xlfn.ANCHORARRAY(E105),0))),K107&amp;"Por favor no seleccionar los criterios de impacto",L94)</f>
        <v>0</v>
      </c>
      <c r="N94" s="200"/>
      <c r="O94" s="201"/>
      <c r="P94" s="202"/>
      <c r="Q94" s="113">
        <v>2</v>
      </c>
      <c r="R94" s="114"/>
      <c r="S94" s="115" t="str">
        <f>IF(OR(T94="Preventivo",T94="Detectivo"),"Probabilidad",IF(T94="Correctivo","Impacto",""))</f>
        <v/>
      </c>
      <c r="T94" s="116"/>
      <c r="U94" s="116"/>
      <c r="V94" s="117" t="str">
        <f t="shared" ref="V94:V98" si="117">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8" si="118">IFERROR(IF(Z94="","",IF(Z94&lt;=0.2,"Muy Baja",IF(Z94&lt;=0.4,"Baja",IF(Z94&lt;=0.6,"Media",IF(Z94&lt;=0.8,"Alta","Muy Alta"))))),"")</f>
        <v/>
      </c>
      <c r="AB94" s="117" t="str">
        <f t="shared" ref="AB94:AB98" si="119">+Z94</f>
        <v/>
      </c>
      <c r="AC94" s="119" t="str">
        <f t="shared" ref="AC94:AC98" si="120">IFERROR(IF(AD94="","",IF(AD94&lt;=0.2,"Leve",IF(AD94&lt;=0.4,"Menor",IF(AD94&lt;=0.6,"Moderado",IF(AD94&lt;=0.8,"Mayor","Catastrófico"))))),"")</f>
        <v/>
      </c>
      <c r="AD94" s="117" t="str">
        <f>IFERROR(IF(AND(S93="Impacto",S94="Impacto"),(AD87-(+AD87*V94)),IF(S94="Impacto",($O$33-(+$O$33*V94)),IF(S94="Probabilidad",AD87,""))),"")</f>
        <v/>
      </c>
      <c r="AE94" s="120" t="str">
        <f t="shared" ref="AE94:AE95" si="121">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11"/>
      <c r="B95" s="139"/>
      <c r="C95" s="139"/>
      <c r="D95" s="212"/>
      <c r="E95" s="204"/>
      <c r="F95" s="141"/>
      <c r="G95" s="212"/>
      <c r="H95" s="140"/>
      <c r="I95" s="213"/>
      <c r="J95" s="200"/>
      <c r="K95" s="201"/>
      <c r="L95" s="203"/>
      <c r="M95" s="201">
        <f t="shared" si="116"/>
        <v>0</v>
      </c>
      <c r="N95" s="200"/>
      <c r="O95" s="201"/>
      <c r="P95" s="202"/>
      <c r="Q95" s="113">
        <v>3</v>
      </c>
      <c r="R95" s="126"/>
      <c r="S95" s="115" t="str">
        <f>IF(OR(T95="Preventivo",T95="Detectivo"),"Probabilidad",IF(T95="Correctivo","Impacto",""))</f>
        <v/>
      </c>
      <c r="T95" s="116"/>
      <c r="U95" s="116"/>
      <c r="V95" s="117" t="str">
        <f t="shared" si="117"/>
        <v/>
      </c>
      <c r="W95" s="116"/>
      <c r="X95" s="116"/>
      <c r="Y95" s="116"/>
      <c r="Z95" s="118" t="str">
        <f>IFERROR(IF(AND(S94="Probabilidad",S95="Probabilidad"),(AB94-(+AB94*V95)),IF(AND(S94="Impacto",S95="Probabilidad"),(AB93-(+AB93*V95)),IF(S95="Impacto",AB94,""))),"")</f>
        <v/>
      </c>
      <c r="AA95" s="119" t="str">
        <f t="shared" si="118"/>
        <v/>
      </c>
      <c r="AB95" s="117" t="str">
        <f t="shared" si="119"/>
        <v/>
      </c>
      <c r="AC95" s="119" t="str">
        <f t="shared" si="120"/>
        <v/>
      </c>
      <c r="AD95" s="117" t="str">
        <f>IFERROR(IF(AND(S94="Impacto",S95="Impacto"),(AD94-(+AD94*V95)),IF(AND(S94="Probabilidad",S95="Impacto"),(AD93-(+AD93*V95)),IF(S95="Probabilidad",AD94,""))),"")</f>
        <v/>
      </c>
      <c r="AE95" s="120" t="str">
        <f t="shared" si="121"/>
        <v/>
      </c>
      <c r="AF95" s="116"/>
      <c r="AG95" s="121"/>
      <c r="AH95" s="122"/>
      <c r="AI95" s="123"/>
      <c r="AJ95" s="123"/>
      <c r="AK95" s="121"/>
      <c r="AL95" s="122"/>
    </row>
    <row r="96" spans="1:38" x14ac:dyDescent="0.3">
      <c r="A96" s="211"/>
      <c r="B96" s="139"/>
      <c r="C96" s="139"/>
      <c r="D96" s="212"/>
      <c r="E96" s="204"/>
      <c r="F96" s="141"/>
      <c r="G96" s="212"/>
      <c r="H96" s="140"/>
      <c r="I96" s="213"/>
      <c r="J96" s="200"/>
      <c r="K96" s="201"/>
      <c r="L96" s="203"/>
      <c r="M96" s="201">
        <f t="shared" si="116"/>
        <v>0</v>
      </c>
      <c r="N96" s="200"/>
      <c r="O96" s="201"/>
      <c r="P96" s="202"/>
      <c r="Q96" s="113">
        <v>4</v>
      </c>
      <c r="R96" s="114"/>
      <c r="S96" s="115" t="str">
        <f t="shared" ref="S96:S98" si="122">IF(OR(T96="Preventivo",T96="Detectivo"),"Probabilidad",IF(T96="Correctivo","Impacto",""))</f>
        <v/>
      </c>
      <c r="T96" s="116"/>
      <c r="U96" s="116"/>
      <c r="V96" s="117" t="str">
        <f t="shared" si="117"/>
        <v/>
      </c>
      <c r="W96" s="116"/>
      <c r="X96" s="116"/>
      <c r="Y96" s="116"/>
      <c r="Z96" s="118" t="str">
        <f t="shared" ref="Z96:Z98" si="123">IFERROR(IF(AND(S95="Probabilidad",S96="Probabilidad"),(AB95-(+AB95*V96)),IF(AND(S95="Impacto",S96="Probabilidad"),(AB94-(+AB94*V96)),IF(S96="Impacto",AB95,""))),"")</f>
        <v/>
      </c>
      <c r="AA96" s="119" t="str">
        <f t="shared" si="118"/>
        <v/>
      </c>
      <c r="AB96" s="117" t="str">
        <f t="shared" si="119"/>
        <v/>
      </c>
      <c r="AC96" s="119" t="str">
        <f t="shared" si="120"/>
        <v/>
      </c>
      <c r="AD96" s="117" t="str">
        <f t="shared" ref="AD96:AD98" si="124">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11"/>
      <c r="B97" s="139"/>
      <c r="C97" s="139"/>
      <c r="D97" s="212"/>
      <c r="E97" s="204"/>
      <c r="F97" s="141"/>
      <c r="G97" s="212"/>
      <c r="H97" s="140"/>
      <c r="I97" s="213"/>
      <c r="J97" s="200"/>
      <c r="K97" s="201"/>
      <c r="L97" s="203"/>
      <c r="M97" s="201">
        <f t="shared" si="116"/>
        <v>0</v>
      </c>
      <c r="N97" s="200"/>
      <c r="O97" s="201"/>
      <c r="P97" s="202"/>
      <c r="Q97" s="113">
        <v>5</v>
      </c>
      <c r="R97" s="114"/>
      <c r="S97" s="115" t="str">
        <f t="shared" si="122"/>
        <v/>
      </c>
      <c r="T97" s="116"/>
      <c r="U97" s="116"/>
      <c r="V97" s="117" t="str">
        <f t="shared" si="117"/>
        <v/>
      </c>
      <c r="W97" s="116"/>
      <c r="X97" s="116"/>
      <c r="Y97" s="116"/>
      <c r="Z97" s="118" t="str">
        <f t="shared" si="123"/>
        <v/>
      </c>
      <c r="AA97" s="119" t="str">
        <f t="shared" si="118"/>
        <v/>
      </c>
      <c r="AB97" s="117" t="str">
        <f t="shared" si="119"/>
        <v/>
      </c>
      <c r="AC97" s="119" t="str">
        <f t="shared" si="120"/>
        <v/>
      </c>
      <c r="AD97" s="117" t="str">
        <f t="shared" si="124"/>
        <v/>
      </c>
      <c r="AE97" s="120" t="str">
        <f t="shared" ref="AE97:AE98" si="125">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11"/>
      <c r="B98" s="139"/>
      <c r="C98" s="139"/>
      <c r="D98" s="212"/>
      <c r="E98" s="204"/>
      <c r="F98" s="141"/>
      <c r="G98" s="212"/>
      <c r="H98" s="140"/>
      <c r="I98" s="213"/>
      <c r="J98" s="200"/>
      <c r="K98" s="201"/>
      <c r="L98" s="203"/>
      <c r="M98" s="201">
        <f t="shared" si="116"/>
        <v>0</v>
      </c>
      <c r="N98" s="200"/>
      <c r="O98" s="201"/>
      <c r="P98" s="202"/>
      <c r="Q98" s="113">
        <v>6</v>
      </c>
      <c r="R98" s="114"/>
      <c r="S98" s="115" t="str">
        <f t="shared" si="122"/>
        <v/>
      </c>
      <c r="T98" s="116"/>
      <c r="U98" s="116"/>
      <c r="V98" s="117" t="str">
        <f t="shared" si="117"/>
        <v/>
      </c>
      <c r="W98" s="116"/>
      <c r="X98" s="116"/>
      <c r="Y98" s="116"/>
      <c r="Z98" s="118" t="str">
        <f t="shared" si="123"/>
        <v/>
      </c>
      <c r="AA98" s="119" t="str">
        <f t="shared" si="118"/>
        <v/>
      </c>
      <c r="AB98" s="117" t="str">
        <f t="shared" si="119"/>
        <v/>
      </c>
      <c r="AC98" s="119" t="str">
        <f t="shared" si="120"/>
        <v/>
      </c>
      <c r="AD98" s="117" t="str">
        <f t="shared" si="124"/>
        <v/>
      </c>
      <c r="AE98" s="120" t="str">
        <f t="shared" si="125"/>
        <v/>
      </c>
      <c r="AF98" s="116"/>
      <c r="AG98" s="121"/>
      <c r="AH98" s="122"/>
      <c r="AI98" s="123"/>
      <c r="AJ98" s="123"/>
      <c r="AK98" s="121"/>
      <c r="AL98" s="122"/>
    </row>
    <row r="99" spans="1:38" x14ac:dyDescent="0.3">
      <c r="A99" s="211">
        <v>6</v>
      </c>
      <c r="B99" s="139"/>
      <c r="C99" s="139"/>
      <c r="D99" s="212"/>
      <c r="E99" s="204"/>
      <c r="F99" s="141"/>
      <c r="G99" s="212"/>
      <c r="H99" s="140"/>
      <c r="I99" s="213"/>
      <c r="J99" s="200" t="str">
        <f>IF(I99&lt;=0,"",IF(I99&lt;=2,"Muy Baja",IF(I99&lt;=24,"Baja",IF(I99&lt;=500,"Media",IF(I99&lt;=5000,"Alta","Muy Alta")))))</f>
        <v/>
      </c>
      <c r="K99" s="201" t="str">
        <f>IF(J99="","",IF(J99="Muy Baja",0.2,IF(J99="Baja",0.4,IF(J99="Media",0.6,IF(J99="Alta",0.8,IF(J99="Muy Alta",1,))))))</f>
        <v/>
      </c>
      <c r="L99" s="203"/>
      <c r="M99" s="201">
        <f>IF(NOT(ISERROR(MATCH(L99,'Tabla Impacto'!$B$221:$B$223,0))),'Tabla Impacto'!$F$223&amp;"Por favor no seleccionar los criterios de impacto(Afectación Económica o presupuestal y Pérdida Reputacional)",L99)</f>
        <v>0</v>
      </c>
      <c r="N99" s="200" t="str">
        <f>IF(OR(M99='Tabla Impacto'!$C$11,M99='Tabla Impacto'!$D$11),"Leve",IF(OR(M99='Tabla Impacto'!$C$12,M99='Tabla Impacto'!$D$12),"Menor",IF(OR(M99='Tabla Impacto'!$C$13,M99='Tabla Impacto'!$D$13),"Moderado",IF(OR(M99='Tabla Impacto'!$C$14,M99='Tabla Impacto'!$D$14),"Mayor",IF(OR(M99='Tabla Impacto'!$C$15,M99='Tabla Impacto'!$D$15),"Catastrófico","")))))</f>
        <v/>
      </c>
      <c r="O99" s="201" t="str">
        <f>IF(N99="","",IF(N99="Leve",0.2,IF(N99="Menor",0.4,IF(N99="Moderado",0.6,IF(N99="Mayor",0.8,IF(N99="Catastrófico",1,))))))</f>
        <v/>
      </c>
      <c r="P99" s="202" t="str">
        <f>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11"/>
      <c r="B100" s="139"/>
      <c r="C100" s="139"/>
      <c r="D100" s="212"/>
      <c r="E100" s="204"/>
      <c r="F100" s="141"/>
      <c r="G100" s="212"/>
      <c r="H100" s="140"/>
      <c r="I100" s="213"/>
      <c r="J100" s="200"/>
      <c r="K100" s="201"/>
      <c r="L100" s="203"/>
      <c r="M100" s="201">
        <f t="shared" ref="M100:M104" si="126">IF(NOT(ISERROR(MATCH(L100,_xlfn.ANCHORARRAY(E111),0))),K113&amp;"Por favor no seleccionar los criterios de impacto",L100)</f>
        <v>0</v>
      </c>
      <c r="N100" s="200"/>
      <c r="O100" s="201"/>
      <c r="P100" s="202"/>
      <c r="Q100" s="113">
        <v>2</v>
      </c>
      <c r="R100" s="114"/>
      <c r="S100" s="115" t="str">
        <f>IF(OR(T100="Preventivo",T100="Detectivo"),"Probabilidad",IF(T100="Correctivo","Impacto",""))</f>
        <v/>
      </c>
      <c r="T100" s="116"/>
      <c r="U100" s="116"/>
      <c r="V100" s="117" t="str">
        <f t="shared" ref="V100:V104" si="127">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28">IFERROR(IF(Z100="","",IF(Z100&lt;=0.2,"Muy Baja",IF(Z100&lt;=0.4,"Baja",IF(Z100&lt;=0.6,"Media",IF(Z100&lt;=0.8,"Alta","Muy Alta"))))),"")</f>
        <v/>
      </c>
      <c r="AB100" s="117" t="str">
        <f t="shared" ref="AB100:AB104" si="129">+Z100</f>
        <v/>
      </c>
      <c r="AC100" s="119" t="str">
        <f t="shared" ref="AC100:AC103" si="130">IFERROR(IF(AD100="","",IF(AD100&lt;=0.2,"Leve",IF(AD100&lt;=0.4,"Menor",IF(AD100&lt;=0.6,"Moderado",IF(AD100&lt;=0.8,"Mayor","Catastrófico"))))),"")</f>
        <v/>
      </c>
      <c r="AD100" s="117" t="str">
        <f>IFERROR(IF(AND(S99="Impacto",S100="Impacto"),(AD93-(+AD93*V100)),IF(S100="Impacto",($O$39-(+$O$39*V100)),IF(S100="Probabilidad",AD93,""))),"")</f>
        <v/>
      </c>
      <c r="AE100" s="120" t="str">
        <f t="shared" ref="AE100:AE101" si="131">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11"/>
      <c r="B101" s="139"/>
      <c r="C101" s="139"/>
      <c r="D101" s="212"/>
      <c r="E101" s="204"/>
      <c r="F101" s="141"/>
      <c r="G101" s="212"/>
      <c r="H101" s="140"/>
      <c r="I101" s="213"/>
      <c r="J101" s="200"/>
      <c r="K101" s="201"/>
      <c r="L101" s="203"/>
      <c r="M101" s="201">
        <f t="shared" si="126"/>
        <v>0</v>
      </c>
      <c r="N101" s="200"/>
      <c r="O101" s="201"/>
      <c r="P101" s="202"/>
      <c r="Q101" s="113">
        <v>3</v>
      </c>
      <c r="R101" s="126"/>
      <c r="S101" s="115" t="str">
        <f>IF(OR(T101="Preventivo",T101="Detectivo"),"Probabilidad",IF(T101="Correctivo","Impacto",""))</f>
        <v/>
      </c>
      <c r="T101" s="116"/>
      <c r="U101" s="116"/>
      <c r="V101" s="117" t="str">
        <f t="shared" si="127"/>
        <v/>
      </c>
      <c r="W101" s="116"/>
      <c r="X101" s="116"/>
      <c r="Y101" s="116"/>
      <c r="Z101" s="118" t="str">
        <f>IFERROR(IF(AND(S100="Probabilidad",S101="Probabilidad"),(AB100-(+AB100*V101)),IF(AND(S100="Impacto",S101="Probabilidad"),(AB99-(+AB99*V101)),IF(S101="Impacto",AB100,""))),"")</f>
        <v/>
      </c>
      <c r="AA101" s="119" t="str">
        <f t="shared" si="128"/>
        <v/>
      </c>
      <c r="AB101" s="117" t="str">
        <f t="shared" si="129"/>
        <v/>
      </c>
      <c r="AC101" s="119" t="str">
        <f t="shared" si="130"/>
        <v/>
      </c>
      <c r="AD101" s="117" t="str">
        <f>IFERROR(IF(AND(S100="Impacto",S101="Impacto"),(AD100-(+AD100*V101)),IF(AND(S100="Probabilidad",S101="Impacto"),(AD99-(+AD99*V101)),IF(S101="Probabilidad",AD100,""))),"")</f>
        <v/>
      </c>
      <c r="AE101" s="120" t="str">
        <f t="shared" si="131"/>
        <v/>
      </c>
      <c r="AF101" s="116"/>
      <c r="AG101" s="121"/>
      <c r="AH101" s="122"/>
      <c r="AI101" s="123"/>
      <c r="AJ101" s="123"/>
      <c r="AK101" s="121"/>
      <c r="AL101" s="122"/>
    </row>
    <row r="102" spans="1:38" x14ac:dyDescent="0.3">
      <c r="A102" s="211"/>
      <c r="B102" s="139"/>
      <c r="C102" s="139"/>
      <c r="D102" s="212"/>
      <c r="E102" s="204"/>
      <c r="F102" s="141"/>
      <c r="G102" s="212"/>
      <c r="H102" s="140"/>
      <c r="I102" s="213"/>
      <c r="J102" s="200"/>
      <c r="K102" s="201"/>
      <c r="L102" s="203"/>
      <c r="M102" s="201">
        <f t="shared" si="126"/>
        <v>0</v>
      </c>
      <c r="N102" s="200"/>
      <c r="O102" s="201"/>
      <c r="P102" s="202"/>
      <c r="Q102" s="113">
        <v>4</v>
      </c>
      <c r="R102" s="114"/>
      <c r="S102" s="115" t="str">
        <f t="shared" ref="S102:S104" si="132">IF(OR(T102="Preventivo",T102="Detectivo"),"Probabilidad",IF(T102="Correctivo","Impacto",""))</f>
        <v/>
      </c>
      <c r="T102" s="116"/>
      <c r="U102" s="116"/>
      <c r="V102" s="117" t="str">
        <f t="shared" si="127"/>
        <v/>
      </c>
      <c r="W102" s="116"/>
      <c r="X102" s="116"/>
      <c r="Y102" s="116"/>
      <c r="Z102" s="118" t="str">
        <f t="shared" ref="Z102:Z104" si="133">IFERROR(IF(AND(S101="Probabilidad",S102="Probabilidad"),(AB101-(+AB101*V102)),IF(AND(S101="Impacto",S102="Probabilidad"),(AB100-(+AB100*V102)),IF(S102="Impacto",AB101,""))),"")</f>
        <v/>
      </c>
      <c r="AA102" s="119" t="str">
        <f t="shared" si="128"/>
        <v/>
      </c>
      <c r="AB102" s="117" t="str">
        <f t="shared" si="129"/>
        <v/>
      </c>
      <c r="AC102" s="119" t="str">
        <f t="shared" si="130"/>
        <v/>
      </c>
      <c r="AD102" s="117" t="str">
        <f t="shared" ref="AD102:AD104" si="134">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11"/>
      <c r="B103" s="139"/>
      <c r="C103" s="139"/>
      <c r="D103" s="212"/>
      <c r="E103" s="204"/>
      <c r="F103" s="141"/>
      <c r="G103" s="212"/>
      <c r="H103" s="140"/>
      <c r="I103" s="213"/>
      <c r="J103" s="200"/>
      <c r="K103" s="201"/>
      <c r="L103" s="203"/>
      <c r="M103" s="201">
        <f t="shared" si="126"/>
        <v>0</v>
      </c>
      <c r="N103" s="200"/>
      <c r="O103" s="201"/>
      <c r="P103" s="202"/>
      <c r="Q103" s="113">
        <v>5</v>
      </c>
      <c r="R103" s="114"/>
      <c r="S103" s="115" t="str">
        <f t="shared" si="132"/>
        <v/>
      </c>
      <c r="T103" s="116"/>
      <c r="U103" s="116"/>
      <c r="V103" s="117" t="str">
        <f t="shared" si="127"/>
        <v/>
      </c>
      <c r="W103" s="116"/>
      <c r="X103" s="116"/>
      <c r="Y103" s="116"/>
      <c r="Z103" s="118" t="str">
        <f t="shared" si="133"/>
        <v/>
      </c>
      <c r="AA103" s="119" t="str">
        <f t="shared" si="128"/>
        <v/>
      </c>
      <c r="AB103" s="117" t="str">
        <f t="shared" si="129"/>
        <v/>
      </c>
      <c r="AC103" s="119" t="str">
        <f t="shared" si="130"/>
        <v/>
      </c>
      <c r="AD103" s="117" t="str">
        <f t="shared" si="134"/>
        <v/>
      </c>
      <c r="AE103" s="120" t="str">
        <f t="shared" ref="AE103" si="135">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11"/>
      <c r="B104" s="139"/>
      <c r="C104" s="139"/>
      <c r="D104" s="212"/>
      <c r="E104" s="204"/>
      <c r="F104" s="141"/>
      <c r="G104" s="212"/>
      <c r="H104" s="140"/>
      <c r="I104" s="213"/>
      <c r="J104" s="200"/>
      <c r="K104" s="201"/>
      <c r="L104" s="203"/>
      <c r="M104" s="201">
        <f t="shared" si="126"/>
        <v>0</v>
      </c>
      <c r="N104" s="200"/>
      <c r="O104" s="201"/>
      <c r="P104" s="202"/>
      <c r="Q104" s="113">
        <v>6</v>
      </c>
      <c r="R104" s="114"/>
      <c r="S104" s="115" t="str">
        <f t="shared" si="132"/>
        <v/>
      </c>
      <c r="T104" s="116"/>
      <c r="U104" s="116"/>
      <c r="V104" s="117" t="str">
        <f t="shared" si="127"/>
        <v/>
      </c>
      <c r="W104" s="116"/>
      <c r="X104" s="116"/>
      <c r="Y104" s="116"/>
      <c r="Z104" s="118" t="str">
        <f t="shared" si="133"/>
        <v/>
      </c>
      <c r="AA104" s="119" t="str">
        <f t="shared" si="128"/>
        <v/>
      </c>
      <c r="AB104" s="117" t="str">
        <f t="shared" si="129"/>
        <v/>
      </c>
      <c r="AC104" s="119" t="str">
        <f>IFERROR(IF(AD104="","",IF(AD104&lt;=0.2,"Leve",IF(AD104&lt;=0.4,"Menor",IF(AD104&lt;=0.6,"Moderado",IF(AD104&lt;=0.8,"Mayor","Catastrófico"))))),"")</f>
        <v/>
      </c>
      <c r="AD104" s="117" t="str">
        <f t="shared" si="134"/>
        <v/>
      </c>
      <c r="AE104" s="120" t="str">
        <f>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6"/>
      <c r="AG104" s="121"/>
      <c r="AH104" s="122"/>
      <c r="AI104" s="123"/>
      <c r="AJ104" s="123"/>
      <c r="AK104" s="121"/>
      <c r="AL104" s="122"/>
    </row>
    <row r="105" spans="1:38" x14ac:dyDescent="0.3">
      <c r="A105" s="211">
        <v>7</v>
      </c>
      <c r="B105" s="139"/>
      <c r="C105" s="139"/>
      <c r="D105" s="212"/>
      <c r="E105" s="204"/>
      <c r="F105" s="141"/>
      <c r="G105" s="212"/>
      <c r="H105" s="140"/>
      <c r="I105" s="213"/>
      <c r="J105" s="200" t="str">
        <f>IF(I105&lt;=0,"",IF(I105&lt;=2,"Muy Baja",IF(I105&lt;=24,"Baja",IF(I105&lt;=500,"Media",IF(I105&lt;=5000,"Alta","Muy Alta")))))</f>
        <v/>
      </c>
      <c r="K105" s="201" t="str">
        <f>IF(J105="","",IF(J105="Muy Baja",0.2,IF(J105="Baja",0.4,IF(J105="Media",0.6,IF(J105="Alta",0.8,IF(J105="Muy Alta",1,))))))</f>
        <v/>
      </c>
      <c r="L105" s="203"/>
      <c r="M105" s="201">
        <f>IF(NOT(ISERROR(MATCH(L105,'Tabla Impacto'!$B$221:$B$223,0))),'Tabla Impacto'!$F$223&amp;"Por favor no seleccionar los criterios de impacto(Afectación Económica o presupuestal y Pérdida Reputacional)",L105)</f>
        <v>0</v>
      </c>
      <c r="N105" s="200" t="str">
        <f>IF(OR(M105='Tabla Impacto'!$C$11,M105='Tabla Impacto'!$D$11),"Leve",IF(OR(M105='Tabla Impacto'!$C$12,M105='Tabla Impacto'!$D$12),"Menor",IF(OR(M105='Tabla Impacto'!$C$13,M105='Tabla Impacto'!$D$13),"Moderado",IF(OR(M105='Tabla Impacto'!$C$14,M105='Tabla Impacto'!$D$14),"Mayor",IF(OR(M105='Tabla Impacto'!$C$15,M105='Tabla Impacto'!$D$15),"Catastrófico","")))))</f>
        <v/>
      </c>
      <c r="O105" s="201" t="str">
        <f>IF(N105="","",IF(N105="Leve",0.2,IF(N105="Menor",0.4,IF(N105="Moderado",0.6,IF(N105="Mayor",0.8,IF(N105="Catastrófico",1,))))))</f>
        <v/>
      </c>
      <c r="P105" s="202" t="str">
        <f>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11"/>
      <c r="B106" s="139"/>
      <c r="C106" s="139"/>
      <c r="D106" s="212"/>
      <c r="E106" s="204"/>
      <c r="F106" s="141"/>
      <c r="G106" s="212"/>
      <c r="H106" s="140"/>
      <c r="I106" s="213"/>
      <c r="J106" s="200"/>
      <c r="K106" s="201"/>
      <c r="L106" s="203"/>
      <c r="M106" s="201">
        <f t="shared" ref="M106:M110" si="136">IF(NOT(ISERROR(MATCH(L106,_xlfn.ANCHORARRAY(E117),0))),K119&amp;"Por favor no seleccionar los criterios de impacto",L106)</f>
        <v>0</v>
      </c>
      <c r="N106" s="200"/>
      <c r="O106" s="201"/>
      <c r="P106" s="202"/>
      <c r="Q106" s="113">
        <v>2</v>
      </c>
      <c r="R106" s="114"/>
      <c r="S106" s="115" t="str">
        <f>IF(OR(T106="Preventivo",T106="Detectivo"),"Probabilidad",IF(T106="Correctivo","Impacto",""))</f>
        <v/>
      </c>
      <c r="T106" s="116"/>
      <c r="U106" s="116"/>
      <c r="V106" s="117" t="str">
        <f t="shared" ref="V106:V110" si="137">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38">IFERROR(IF(Z106="","",IF(Z106&lt;=0.2,"Muy Baja",IF(Z106&lt;=0.4,"Baja",IF(Z106&lt;=0.6,"Media",IF(Z106&lt;=0.8,"Alta","Muy Alta"))))),"")</f>
        <v/>
      </c>
      <c r="AB106" s="117" t="str">
        <f t="shared" ref="AB106:AB110" si="139">+Z106</f>
        <v/>
      </c>
      <c r="AC106" s="119" t="str">
        <f t="shared" ref="AC106:AC110" si="140">IFERROR(IF(AD106="","",IF(AD106&lt;=0.2,"Leve",IF(AD106&lt;=0.4,"Menor",IF(AD106&lt;=0.6,"Moderado",IF(AD106&lt;=0.8,"Mayor","Catastrófico"))))),"")</f>
        <v/>
      </c>
      <c r="AD106" s="117" t="str">
        <f>IFERROR(IF(AND(S105="Impacto",S106="Impacto"),(AD99-(+AD99*V106)),IF(S106="Impacto",($O$45-(+$O$45*V106)),IF(S106="Probabilidad",AD99,""))),"")</f>
        <v/>
      </c>
      <c r="AE106" s="120" t="str">
        <f t="shared" ref="AE106:AE107" si="141">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11"/>
      <c r="B107" s="139"/>
      <c r="C107" s="139"/>
      <c r="D107" s="212"/>
      <c r="E107" s="204"/>
      <c r="F107" s="141"/>
      <c r="G107" s="212"/>
      <c r="H107" s="140"/>
      <c r="I107" s="213"/>
      <c r="J107" s="200"/>
      <c r="K107" s="201"/>
      <c r="L107" s="203"/>
      <c r="M107" s="201">
        <f t="shared" si="136"/>
        <v>0</v>
      </c>
      <c r="N107" s="200"/>
      <c r="O107" s="201"/>
      <c r="P107" s="202"/>
      <c r="Q107" s="113">
        <v>3</v>
      </c>
      <c r="R107" s="126"/>
      <c r="S107" s="115" t="str">
        <f>IF(OR(T107="Preventivo",T107="Detectivo"),"Probabilidad",IF(T107="Correctivo","Impacto",""))</f>
        <v/>
      </c>
      <c r="T107" s="116"/>
      <c r="U107" s="116"/>
      <c r="V107" s="117" t="str">
        <f t="shared" si="137"/>
        <v/>
      </c>
      <c r="W107" s="116"/>
      <c r="X107" s="116"/>
      <c r="Y107" s="116"/>
      <c r="Z107" s="118" t="str">
        <f>IFERROR(IF(AND(S106="Probabilidad",S107="Probabilidad"),(AB106-(+AB106*V107)),IF(AND(S106="Impacto",S107="Probabilidad"),(AB105-(+AB105*V107)),IF(S107="Impacto",AB106,""))),"")</f>
        <v/>
      </c>
      <c r="AA107" s="119" t="str">
        <f t="shared" si="138"/>
        <v/>
      </c>
      <c r="AB107" s="117" t="str">
        <f t="shared" si="139"/>
        <v/>
      </c>
      <c r="AC107" s="119" t="str">
        <f t="shared" si="140"/>
        <v/>
      </c>
      <c r="AD107" s="117" t="str">
        <f>IFERROR(IF(AND(S106="Impacto",S107="Impacto"),(AD106-(+AD106*V107)),IF(AND(S106="Probabilidad",S107="Impacto"),(AD105-(+AD105*V107)),IF(S107="Probabilidad",AD106,""))),"")</f>
        <v/>
      </c>
      <c r="AE107" s="120" t="str">
        <f t="shared" si="141"/>
        <v/>
      </c>
      <c r="AF107" s="116"/>
      <c r="AG107" s="121"/>
      <c r="AH107" s="122"/>
      <c r="AI107" s="123"/>
      <c r="AJ107" s="123"/>
      <c r="AK107" s="121"/>
      <c r="AL107" s="122"/>
    </row>
    <row r="108" spans="1:38" x14ac:dyDescent="0.3">
      <c r="A108" s="211"/>
      <c r="B108" s="139"/>
      <c r="C108" s="139"/>
      <c r="D108" s="212"/>
      <c r="E108" s="204"/>
      <c r="F108" s="141"/>
      <c r="G108" s="212"/>
      <c r="H108" s="140"/>
      <c r="I108" s="213"/>
      <c r="J108" s="200"/>
      <c r="K108" s="201"/>
      <c r="L108" s="203"/>
      <c r="M108" s="201">
        <f t="shared" si="136"/>
        <v>0</v>
      </c>
      <c r="N108" s="200"/>
      <c r="O108" s="201"/>
      <c r="P108" s="202"/>
      <c r="Q108" s="113">
        <v>4</v>
      </c>
      <c r="R108" s="114"/>
      <c r="S108" s="115" t="str">
        <f t="shared" ref="S108:S110" si="142">IF(OR(T108="Preventivo",T108="Detectivo"),"Probabilidad",IF(T108="Correctivo","Impacto",""))</f>
        <v/>
      </c>
      <c r="T108" s="116"/>
      <c r="U108" s="116"/>
      <c r="V108" s="117" t="str">
        <f t="shared" si="137"/>
        <v/>
      </c>
      <c r="W108" s="116"/>
      <c r="X108" s="116"/>
      <c r="Y108" s="116"/>
      <c r="Z108" s="118" t="str">
        <f t="shared" ref="Z108:Z110" si="143">IFERROR(IF(AND(S107="Probabilidad",S108="Probabilidad"),(AB107-(+AB107*V108)),IF(AND(S107="Impacto",S108="Probabilidad"),(AB106-(+AB106*V108)),IF(S108="Impacto",AB107,""))),"")</f>
        <v/>
      </c>
      <c r="AA108" s="119" t="str">
        <f t="shared" si="138"/>
        <v/>
      </c>
      <c r="AB108" s="117" t="str">
        <f t="shared" si="139"/>
        <v/>
      </c>
      <c r="AC108" s="119" t="str">
        <f t="shared" si="140"/>
        <v/>
      </c>
      <c r="AD108" s="117" t="str">
        <f t="shared" ref="AD108:AD110" si="144">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11"/>
      <c r="B109" s="139"/>
      <c r="C109" s="139"/>
      <c r="D109" s="212"/>
      <c r="E109" s="204"/>
      <c r="F109" s="141"/>
      <c r="G109" s="212"/>
      <c r="H109" s="140"/>
      <c r="I109" s="213"/>
      <c r="J109" s="200"/>
      <c r="K109" s="201"/>
      <c r="L109" s="203"/>
      <c r="M109" s="201">
        <f t="shared" si="136"/>
        <v>0</v>
      </c>
      <c r="N109" s="200"/>
      <c r="O109" s="201"/>
      <c r="P109" s="202"/>
      <c r="Q109" s="113">
        <v>5</v>
      </c>
      <c r="R109" s="114"/>
      <c r="S109" s="115" t="str">
        <f t="shared" si="142"/>
        <v/>
      </c>
      <c r="T109" s="116"/>
      <c r="U109" s="116"/>
      <c r="V109" s="117" t="str">
        <f t="shared" si="137"/>
        <v/>
      </c>
      <c r="W109" s="116"/>
      <c r="X109" s="116"/>
      <c r="Y109" s="116"/>
      <c r="Z109" s="118" t="str">
        <f t="shared" si="143"/>
        <v/>
      </c>
      <c r="AA109" s="119" t="str">
        <f t="shared" si="138"/>
        <v/>
      </c>
      <c r="AB109" s="117" t="str">
        <f t="shared" si="139"/>
        <v/>
      </c>
      <c r="AC109" s="119" t="str">
        <f t="shared" si="140"/>
        <v/>
      </c>
      <c r="AD109" s="117" t="str">
        <f t="shared" si="144"/>
        <v/>
      </c>
      <c r="AE109" s="120" t="str">
        <f t="shared" ref="AE109:AE110" si="145">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11"/>
      <c r="B110" s="139"/>
      <c r="C110" s="139"/>
      <c r="D110" s="212"/>
      <c r="E110" s="204"/>
      <c r="F110" s="141"/>
      <c r="G110" s="212"/>
      <c r="H110" s="140"/>
      <c r="I110" s="213"/>
      <c r="J110" s="200"/>
      <c r="K110" s="201"/>
      <c r="L110" s="203"/>
      <c r="M110" s="201">
        <f t="shared" si="136"/>
        <v>0</v>
      </c>
      <c r="N110" s="200"/>
      <c r="O110" s="201"/>
      <c r="P110" s="202"/>
      <c r="Q110" s="113">
        <v>6</v>
      </c>
      <c r="R110" s="114"/>
      <c r="S110" s="115" t="str">
        <f t="shared" si="142"/>
        <v/>
      </c>
      <c r="T110" s="116"/>
      <c r="U110" s="116"/>
      <c r="V110" s="117" t="str">
        <f t="shared" si="137"/>
        <v/>
      </c>
      <c r="W110" s="116"/>
      <c r="X110" s="116"/>
      <c r="Y110" s="116"/>
      <c r="Z110" s="118" t="str">
        <f t="shared" si="143"/>
        <v/>
      </c>
      <c r="AA110" s="119" t="str">
        <f t="shared" si="138"/>
        <v/>
      </c>
      <c r="AB110" s="117" t="str">
        <f t="shared" si="139"/>
        <v/>
      </c>
      <c r="AC110" s="119" t="str">
        <f t="shared" si="140"/>
        <v/>
      </c>
      <c r="AD110" s="117" t="str">
        <f t="shared" si="144"/>
        <v/>
      </c>
      <c r="AE110" s="120" t="str">
        <f t="shared" si="145"/>
        <v/>
      </c>
      <c r="AF110" s="116"/>
      <c r="AG110" s="121"/>
      <c r="AH110" s="122"/>
      <c r="AI110" s="123"/>
      <c r="AJ110" s="123"/>
      <c r="AK110" s="121"/>
      <c r="AL110" s="122"/>
    </row>
    <row r="111" spans="1:38" x14ac:dyDescent="0.3">
      <c r="A111" s="211">
        <v>8</v>
      </c>
      <c r="B111" s="139"/>
      <c r="C111" s="139"/>
      <c r="D111" s="212"/>
      <c r="E111" s="204"/>
      <c r="F111" s="141"/>
      <c r="G111" s="212"/>
      <c r="H111" s="140"/>
      <c r="I111" s="213"/>
      <c r="J111" s="200" t="str">
        <f>IF(I111&lt;=0,"",IF(I111&lt;=2,"Muy Baja",IF(I111&lt;=24,"Baja",IF(I111&lt;=500,"Media",IF(I111&lt;=5000,"Alta","Muy Alta")))))</f>
        <v/>
      </c>
      <c r="K111" s="201" t="str">
        <f>IF(J111="","",IF(J111="Muy Baja",0.2,IF(J111="Baja",0.4,IF(J111="Media",0.6,IF(J111="Alta",0.8,IF(J111="Muy Alta",1,))))))</f>
        <v/>
      </c>
      <c r="L111" s="203"/>
      <c r="M111" s="201">
        <f>IF(NOT(ISERROR(MATCH(L111,'Tabla Impacto'!$B$221:$B$223,0))),'Tabla Impacto'!$F$223&amp;"Por favor no seleccionar los criterios de impacto(Afectación Económica o presupuestal y Pérdida Reputacional)",L111)</f>
        <v>0</v>
      </c>
      <c r="N111" s="200" t="str">
        <f>IF(OR(M111='Tabla Impacto'!$C$11,M111='Tabla Impacto'!$D$11),"Leve",IF(OR(M111='Tabla Impacto'!$C$12,M111='Tabla Impacto'!$D$12),"Menor",IF(OR(M111='Tabla Impacto'!$C$13,M111='Tabla Impacto'!$D$13),"Moderado",IF(OR(M111='Tabla Impacto'!$C$14,M111='Tabla Impacto'!$D$14),"Mayor",IF(OR(M111='Tabla Impacto'!$C$15,M111='Tabla Impacto'!$D$15),"Catastrófico","")))))</f>
        <v/>
      </c>
      <c r="O111" s="201" t="str">
        <f>IF(N111="","",IF(N111="Leve",0.2,IF(N111="Menor",0.4,IF(N111="Moderado",0.6,IF(N111="Mayor",0.8,IF(N111="Catastrófico",1,))))))</f>
        <v/>
      </c>
      <c r="P111" s="202" t="str">
        <f>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11"/>
      <c r="B112" s="139"/>
      <c r="C112" s="139"/>
      <c r="D112" s="212"/>
      <c r="E112" s="204"/>
      <c r="F112" s="141"/>
      <c r="G112" s="212"/>
      <c r="H112" s="140"/>
      <c r="I112" s="213"/>
      <c r="J112" s="200"/>
      <c r="K112" s="201"/>
      <c r="L112" s="203"/>
      <c r="M112" s="201">
        <f>IF(NOT(ISERROR(MATCH(L112,_xlfn.ANCHORARRAY(E123),0))),K125&amp;"Por favor no seleccionar los criterios de impacto",L112)</f>
        <v>0</v>
      </c>
      <c r="N112" s="200"/>
      <c r="O112" s="201"/>
      <c r="P112" s="202"/>
      <c r="Q112" s="113">
        <v>2</v>
      </c>
      <c r="R112" s="114"/>
      <c r="S112" s="115" t="str">
        <f>IF(OR(T112="Preventivo",T112="Detectivo"),"Probabilidad",IF(T112="Correctivo","Impacto",""))</f>
        <v/>
      </c>
      <c r="T112" s="116"/>
      <c r="U112" s="116"/>
      <c r="V112" s="117" t="str">
        <f t="shared" ref="V112:V116" si="146">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47">IFERROR(IF(Z112="","",IF(Z112&lt;=0.2,"Muy Baja",IF(Z112&lt;=0.4,"Baja",IF(Z112&lt;=0.6,"Media",IF(Z112&lt;=0.8,"Alta","Muy Alta"))))),"")</f>
        <v/>
      </c>
      <c r="AB112" s="117" t="str">
        <f t="shared" ref="AB112:AB116" si="148">+Z112</f>
        <v/>
      </c>
      <c r="AC112" s="119" t="str">
        <f t="shared" ref="AC112:AC116" si="149">IFERROR(IF(AD112="","",IF(AD112&lt;=0.2,"Leve",IF(AD112&lt;=0.4,"Menor",IF(AD112&lt;=0.6,"Moderado",IF(AD112&lt;=0.8,"Mayor","Catastrófico"))))),"")</f>
        <v/>
      </c>
      <c r="AD112" s="117" t="str">
        <f>IFERROR(IF(AND(S111="Impacto",S112="Impacto"),(AD105-(+AD105*V112)),IF(S112="Impacto",($O$51-(+$O$51*V112)),IF(S112="Probabilidad",AD105,""))),"")</f>
        <v/>
      </c>
      <c r="AE112" s="120" t="str">
        <f t="shared" ref="AE112:AE113" si="150">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11"/>
      <c r="B113" s="139"/>
      <c r="C113" s="139"/>
      <c r="D113" s="212"/>
      <c r="E113" s="204"/>
      <c r="F113" s="141"/>
      <c r="G113" s="212"/>
      <c r="H113" s="140"/>
      <c r="I113" s="213"/>
      <c r="J113" s="200"/>
      <c r="K113" s="201"/>
      <c r="L113" s="203"/>
      <c r="M113" s="201">
        <f>IF(NOT(ISERROR(MATCH(L113,_xlfn.ANCHORARRAY(E124),0))),K126&amp;"Por favor no seleccionar los criterios de impacto",L113)</f>
        <v>0</v>
      </c>
      <c r="N113" s="200"/>
      <c r="O113" s="201"/>
      <c r="P113" s="202"/>
      <c r="Q113" s="113">
        <v>3</v>
      </c>
      <c r="R113" s="126"/>
      <c r="S113" s="115" t="str">
        <f>IF(OR(T113="Preventivo",T113="Detectivo"),"Probabilidad",IF(T113="Correctivo","Impacto",""))</f>
        <v/>
      </c>
      <c r="T113" s="116"/>
      <c r="U113" s="116"/>
      <c r="V113" s="117" t="str">
        <f t="shared" si="146"/>
        <v/>
      </c>
      <c r="W113" s="116"/>
      <c r="X113" s="116"/>
      <c r="Y113" s="116"/>
      <c r="Z113" s="118" t="str">
        <f>IFERROR(IF(AND(S112="Probabilidad",S113="Probabilidad"),(AB112-(+AB112*V113)),IF(AND(S112="Impacto",S113="Probabilidad"),(AB111-(+AB111*V113)),IF(S113="Impacto",AB112,""))),"")</f>
        <v/>
      </c>
      <c r="AA113" s="119" t="str">
        <f t="shared" si="147"/>
        <v/>
      </c>
      <c r="AB113" s="117" t="str">
        <f t="shared" si="148"/>
        <v/>
      </c>
      <c r="AC113" s="119" t="str">
        <f t="shared" si="149"/>
        <v/>
      </c>
      <c r="AD113" s="117" t="str">
        <f>IFERROR(IF(AND(S112="Impacto",S113="Impacto"),(AD112-(+AD112*V113)),IF(AND(S112="Probabilidad",S113="Impacto"),(AD111-(+AD111*V113)),IF(S113="Probabilidad",AD112,""))),"")</f>
        <v/>
      </c>
      <c r="AE113" s="120" t="str">
        <f t="shared" si="150"/>
        <v/>
      </c>
      <c r="AF113" s="116"/>
      <c r="AG113" s="121"/>
      <c r="AH113" s="122"/>
      <c r="AI113" s="123"/>
      <c r="AJ113" s="123"/>
      <c r="AK113" s="121"/>
      <c r="AL113" s="122"/>
    </row>
    <row r="114" spans="1:38" x14ac:dyDescent="0.3">
      <c r="A114" s="211"/>
      <c r="B114" s="139"/>
      <c r="C114" s="139"/>
      <c r="D114" s="212"/>
      <c r="E114" s="204"/>
      <c r="F114" s="141"/>
      <c r="G114" s="212"/>
      <c r="H114" s="140"/>
      <c r="I114" s="213"/>
      <c r="J114" s="200"/>
      <c r="K114" s="201"/>
      <c r="L114" s="203"/>
      <c r="M114" s="201">
        <f>IF(NOT(ISERROR(MATCH(L114,_xlfn.ANCHORARRAY(E125),0))),K127&amp;"Por favor no seleccionar los criterios de impacto",L114)</f>
        <v>0</v>
      </c>
      <c r="N114" s="200"/>
      <c r="O114" s="201"/>
      <c r="P114" s="202"/>
      <c r="Q114" s="113">
        <v>4</v>
      </c>
      <c r="R114" s="114"/>
      <c r="S114" s="115" t="str">
        <f t="shared" ref="S114:S116" si="151">IF(OR(T114="Preventivo",T114="Detectivo"),"Probabilidad",IF(T114="Correctivo","Impacto",""))</f>
        <v/>
      </c>
      <c r="T114" s="116"/>
      <c r="U114" s="116"/>
      <c r="V114" s="117" t="str">
        <f t="shared" si="146"/>
        <v/>
      </c>
      <c r="W114" s="116"/>
      <c r="X114" s="116"/>
      <c r="Y114" s="116"/>
      <c r="Z114" s="118" t="str">
        <f t="shared" ref="Z114:Z116" si="152">IFERROR(IF(AND(S113="Probabilidad",S114="Probabilidad"),(AB113-(+AB113*V114)),IF(AND(S113="Impacto",S114="Probabilidad"),(AB112-(+AB112*V114)),IF(S114="Impacto",AB113,""))),"")</f>
        <v/>
      </c>
      <c r="AA114" s="119" t="str">
        <f t="shared" si="147"/>
        <v/>
      </c>
      <c r="AB114" s="117" t="str">
        <f t="shared" si="148"/>
        <v/>
      </c>
      <c r="AC114" s="119" t="str">
        <f t="shared" si="149"/>
        <v/>
      </c>
      <c r="AD114" s="117" t="str">
        <f t="shared" ref="AD114:AD116" si="153">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11"/>
      <c r="B115" s="139"/>
      <c r="C115" s="139"/>
      <c r="D115" s="212"/>
      <c r="E115" s="204"/>
      <c r="F115" s="141"/>
      <c r="G115" s="212"/>
      <c r="H115" s="140"/>
      <c r="I115" s="213"/>
      <c r="J115" s="200"/>
      <c r="K115" s="201"/>
      <c r="L115" s="203"/>
      <c r="M115" s="201">
        <f>IF(NOT(ISERROR(MATCH(L115,_xlfn.ANCHORARRAY(E126),0))),K128&amp;"Por favor no seleccionar los criterios de impacto",L115)</f>
        <v>0</v>
      </c>
      <c r="N115" s="200"/>
      <c r="O115" s="201"/>
      <c r="P115" s="202"/>
      <c r="Q115" s="113">
        <v>5</v>
      </c>
      <c r="R115" s="114"/>
      <c r="S115" s="115" t="str">
        <f t="shared" si="151"/>
        <v/>
      </c>
      <c r="T115" s="116"/>
      <c r="U115" s="116"/>
      <c r="V115" s="117" t="str">
        <f t="shared" si="146"/>
        <v/>
      </c>
      <c r="W115" s="116"/>
      <c r="X115" s="116"/>
      <c r="Y115" s="116"/>
      <c r="Z115" s="118" t="str">
        <f t="shared" si="152"/>
        <v/>
      </c>
      <c r="AA115" s="119" t="str">
        <f t="shared" si="147"/>
        <v/>
      </c>
      <c r="AB115" s="117" t="str">
        <f t="shared" si="148"/>
        <v/>
      </c>
      <c r="AC115" s="119" t="str">
        <f t="shared" si="149"/>
        <v/>
      </c>
      <c r="AD115" s="117" t="str">
        <f t="shared" si="153"/>
        <v/>
      </c>
      <c r="AE115" s="120" t="str">
        <f t="shared" ref="AE115:AE116" si="154">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11"/>
      <c r="B116" s="139"/>
      <c r="C116" s="139"/>
      <c r="D116" s="212"/>
      <c r="E116" s="204"/>
      <c r="F116" s="141"/>
      <c r="G116" s="212"/>
      <c r="H116" s="140"/>
      <c r="I116" s="213"/>
      <c r="J116" s="200"/>
      <c r="K116" s="201"/>
      <c r="L116" s="203"/>
      <c r="M116" s="201">
        <f>IF(NOT(ISERROR(MATCH(L116,_xlfn.ANCHORARRAY(E127),0))),K130&amp;"Por favor no seleccionar los criterios de impacto",L116)</f>
        <v>0</v>
      </c>
      <c r="N116" s="200"/>
      <c r="O116" s="201"/>
      <c r="P116" s="202"/>
      <c r="Q116" s="113">
        <v>6</v>
      </c>
      <c r="R116" s="114"/>
      <c r="S116" s="115" t="str">
        <f t="shared" si="151"/>
        <v/>
      </c>
      <c r="T116" s="116"/>
      <c r="U116" s="116"/>
      <c r="V116" s="117" t="str">
        <f t="shared" si="146"/>
        <v/>
      </c>
      <c r="W116" s="116"/>
      <c r="X116" s="116"/>
      <c r="Y116" s="116"/>
      <c r="Z116" s="118" t="str">
        <f t="shared" si="152"/>
        <v/>
      </c>
      <c r="AA116" s="119" t="str">
        <f t="shared" si="147"/>
        <v/>
      </c>
      <c r="AB116" s="117" t="str">
        <f t="shared" si="148"/>
        <v/>
      </c>
      <c r="AC116" s="119" t="str">
        <f t="shared" si="149"/>
        <v/>
      </c>
      <c r="AD116" s="117" t="str">
        <f t="shared" si="153"/>
        <v/>
      </c>
      <c r="AE116" s="120" t="str">
        <f t="shared" si="154"/>
        <v/>
      </c>
      <c r="AF116" s="116"/>
      <c r="AG116" s="121"/>
      <c r="AH116" s="122"/>
      <c r="AI116" s="123"/>
      <c r="AJ116" s="123"/>
      <c r="AK116" s="121"/>
      <c r="AL116" s="122"/>
    </row>
    <row r="117" spans="1:38" x14ac:dyDescent="0.3">
      <c r="A117" s="211">
        <v>9</v>
      </c>
      <c r="B117" s="139"/>
      <c r="C117" s="139"/>
      <c r="D117" s="212"/>
      <c r="E117" s="204"/>
      <c r="F117" s="141"/>
      <c r="G117" s="212"/>
      <c r="H117" s="140"/>
      <c r="I117" s="213"/>
      <c r="J117" s="200" t="str">
        <f>IF(I117&lt;=0,"",IF(I117&lt;=2,"Muy Baja",IF(I117&lt;=24,"Baja",IF(I117&lt;=500,"Media",IF(I117&lt;=5000,"Alta","Muy Alta")))))</f>
        <v/>
      </c>
      <c r="K117" s="201" t="str">
        <f>IF(J117="","",IF(J117="Muy Baja",0.2,IF(J117="Baja",0.4,IF(J117="Media",0.6,IF(J117="Alta",0.8,IF(J117="Muy Alta",1,))))))</f>
        <v/>
      </c>
      <c r="L117" s="203"/>
      <c r="M117" s="201">
        <f>IF(NOT(ISERROR(MATCH(L117,'Tabla Impacto'!$B$221:$B$223,0))),'Tabla Impacto'!$F$223&amp;"Por favor no seleccionar los criterios de impacto(Afectación Económica o presupuestal y Pérdida Reputacional)",L117)</f>
        <v>0</v>
      </c>
      <c r="N117" s="200" t="str">
        <f>IF(OR(M117='Tabla Impacto'!$C$11,M117='Tabla Impacto'!$D$11),"Leve",IF(OR(M117='Tabla Impacto'!$C$12,M117='Tabla Impacto'!$D$12),"Menor",IF(OR(M117='Tabla Impacto'!$C$13,M117='Tabla Impacto'!$D$13),"Moderado",IF(OR(M117='Tabla Impacto'!$C$14,M117='Tabla Impacto'!$D$14),"Mayor",IF(OR(M117='Tabla Impacto'!$C$15,M117='Tabla Impacto'!$D$15),"Catastrófico","")))))</f>
        <v/>
      </c>
      <c r="O117" s="201" t="str">
        <f>IF(N117="","",IF(N117="Leve",0.2,IF(N117="Menor",0.4,IF(N117="Moderado",0.6,IF(N117="Mayor",0.8,IF(N117="Catastrófico",1,))))))</f>
        <v/>
      </c>
      <c r="P117" s="202" t="str">
        <f>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11"/>
      <c r="B118" s="139"/>
      <c r="C118" s="139"/>
      <c r="D118" s="212"/>
      <c r="E118" s="204"/>
      <c r="F118" s="141"/>
      <c r="G118" s="212"/>
      <c r="H118" s="140"/>
      <c r="I118" s="213"/>
      <c r="J118" s="200"/>
      <c r="K118" s="201"/>
      <c r="L118" s="203"/>
      <c r="M118" s="201">
        <f>IF(NOT(ISERROR(MATCH(L118,_xlfn.ANCHORARRAY(E130),0))),K132&amp;"Por favor no seleccionar los criterios de impacto",L118)</f>
        <v>0</v>
      </c>
      <c r="N118" s="200"/>
      <c r="O118" s="201"/>
      <c r="P118" s="202"/>
      <c r="Q118" s="113">
        <v>2</v>
      </c>
      <c r="R118" s="114"/>
      <c r="S118" s="115" t="str">
        <f>IF(OR(T118="Preventivo",T118="Detectivo"),"Probabilidad",IF(T118="Correctivo","Impacto",""))</f>
        <v/>
      </c>
      <c r="T118" s="116"/>
      <c r="U118" s="116"/>
      <c r="V118" s="117" t="str">
        <f t="shared" ref="V118:V122" si="155">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56">IFERROR(IF(Z118="","",IF(Z118&lt;=0.2,"Muy Baja",IF(Z118&lt;=0.4,"Baja",IF(Z118&lt;=0.6,"Media",IF(Z118&lt;=0.8,"Alta","Muy Alta"))))),"")</f>
        <v/>
      </c>
      <c r="AB118" s="117" t="str">
        <f t="shared" ref="AB118:AB122" si="157">+Z118</f>
        <v/>
      </c>
      <c r="AC118" s="119" t="str">
        <f t="shared" ref="AC118:AC122" si="158">IFERROR(IF(AD118="","",IF(AD118&lt;=0.2,"Leve",IF(AD118&lt;=0.4,"Menor",IF(AD118&lt;=0.6,"Moderado",IF(AD118&lt;=0.8,"Mayor","Catastrófico"))))),"")</f>
        <v/>
      </c>
      <c r="AD118" s="117" t="str">
        <f>IFERROR(IF(AND(S117="Impacto",S118="Impacto"),(AD111-(+AD111*V118)),IF(S118="Impacto",($O$57-(+$O$57*V118)),IF(S118="Probabilidad",AD111,""))),"")</f>
        <v/>
      </c>
      <c r="AE118" s="120" t="str">
        <f t="shared" ref="AE118:AE119" si="159">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11"/>
      <c r="B119" s="139"/>
      <c r="C119" s="139"/>
      <c r="D119" s="212"/>
      <c r="E119" s="204"/>
      <c r="F119" s="141"/>
      <c r="G119" s="212"/>
      <c r="H119" s="140"/>
      <c r="I119" s="213"/>
      <c r="J119" s="200"/>
      <c r="K119" s="201"/>
      <c r="L119" s="203"/>
      <c r="M119" s="201">
        <f>IF(NOT(ISERROR(MATCH(L119,_xlfn.ANCHORARRAY(E131),0))),K133&amp;"Por favor no seleccionar los criterios de impacto",L119)</f>
        <v>0</v>
      </c>
      <c r="N119" s="200"/>
      <c r="O119" s="201"/>
      <c r="P119" s="202"/>
      <c r="Q119" s="113">
        <v>3</v>
      </c>
      <c r="R119" s="126"/>
      <c r="S119" s="115" t="str">
        <f>IF(OR(T119="Preventivo",T119="Detectivo"),"Probabilidad",IF(T119="Correctivo","Impacto",""))</f>
        <v/>
      </c>
      <c r="T119" s="116"/>
      <c r="U119" s="116"/>
      <c r="V119" s="117" t="str">
        <f t="shared" si="155"/>
        <v/>
      </c>
      <c r="W119" s="116"/>
      <c r="X119" s="116"/>
      <c r="Y119" s="116"/>
      <c r="Z119" s="118" t="str">
        <f>IFERROR(IF(AND(S118="Probabilidad",S119="Probabilidad"),(AB118-(+AB118*V119)),IF(AND(S118="Impacto",S119="Probabilidad"),(AB117-(+AB117*V119)),IF(S119="Impacto",AB118,""))),"")</f>
        <v/>
      </c>
      <c r="AA119" s="119" t="str">
        <f t="shared" si="156"/>
        <v/>
      </c>
      <c r="AB119" s="117" t="str">
        <f t="shared" si="157"/>
        <v/>
      </c>
      <c r="AC119" s="119" t="str">
        <f t="shared" si="158"/>
        <v/>
      </c>
      <c r="AD119" s="117" t="str">
        <f>IFERROR(IF(AND(S118="Impacto",S119="Impacto"),(AD118-(+AD118*V119)),IF(AND(S118="Probabilidad",S119="Impacto"),(AD117-(+AD117*V119)),IF(S119="Probabilidad",AD118,""))),"")</f>
        <v/>
      </c>
      <c r="AE119" s="120" t="str">
        <f t="shared" si="159"/>
        <v/>
      </c>
      <c r="AF119" s="116"/>
      <c r="AG119" s="121"/>
      <c r="AH119" s="122"/>
      <c r="AI119" s="123"/>
      <c r="AJ119" s="123"/>
      <c r="AK119" s="121"/>
      <c r="AL119" s="122"/>
    </row>
    <row r="120" spans="1:38" x14ac:dyDescent="0.3">
      <c r="A120" s="211"/>
      <c r="B120" s="139"/>
      <c r="C120" s="139"/>
      <c r="D120" s="212"/>
      <c r="E120" s="204"/>
      <c r="F120" s="141"/>
      <c r="G120" s="212"/>
      <c r="H120" s="140"/>
      <c r="I120" s="213"/>
      <c r="J120" s="200"/>
      <c r="K120" s="201"/>
      <c r="L120" s="203"/>
      <c r="M120" s="201">
        <f>IF(NOT(ISERROR(MATCH(L120,_xlfn.ANCHORARRAY(E132),0))),K134&amp;"Por favor no seleccionar los criterios de impacto",L120)</f>
        <v>0</v>
      </c>
      <c r="N120" s="200"/>
      <c r="O120" s="201"/>
      <c r="P120" s="202"/>
      <c r="Q120" s="113">
        <v>4</v>
      </c>
      <c r="R120" s="114"/>
      <c r="S120" s="115" t="str">
        <f t="shared" ref="S120:S122" si="160">IF(OR(T120="Preventivo",T120="Detectivo"),"Probabilidad",IF(T120="Correctivo","Impacto",""))</f>
        <v/>
      </c>
      <c r="T120" s="116"/>
      <c r="U120" s="116"/>
      <c r="V120" s="117" t="str">
        <f t="shared" si="155"/>
        <v/>
      </c>
      <c r="W120" s="116"/>
      <c r="X120" s="116"/>
      <c r="Y120" s="116"/>
      <c r="Z120" s="118" t="str">
        <f t="shared" ref="Z120:Z122" si="161">IFERROR(IF(AND(S119="Probabilidad",S120="Probabilidad"),(AB119-(+AB119*V120)),IF(AND(S119="Impacto",S120="Probabilidad"),(AB118-(+AB118*V120)),IF(S120="Impacto",AB119,""))),"")</f>
        <v/>
      </c>
      <c r="AA120" s="119" t="str">
        <f t="shared" si="156"/>
        <v/>
      </c>
      <c r="AB120" s="117" t="str">
        <f t="shared" si="157"/>
        <v/>
      </c>
      <c r="AC120" s="119" t="str">
        <f t="shared" si="158"/>
        <v/>
      </c>
      <c r="AD120" s="117" t="str">
        <f t="shared" ref="AD120:AD122" si="162">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11"/>
      <c r="B121" s="139"/>
      <c r="C121" s="139"/>
      <c r="D121" s="212"/>
      <c r="E121" s="204"/>
      <c r="F121" s="141"/>
      <c r="G121" s="212"/>
      <c r="H121" s="140"/>
      <c r="I121" s="213"/>
      <c r="J121" s="200"/>
      <c r="K121" s="201"/>
      <c r="L121" s="203"/>
      <c r="M121" s="201">
        <f>IF(NOT(ISERROR(MATCH(L121,_xlfn.ANCHORARRAY(E133),0))),K135&amp;"Por favor no seleccionar los criterios de impacto",L121)</f>
        <v>0</v>
      </c>
      <c r="N121" s="200"/>
      <c r="O121" s="201"/>
      <c r="P121" s="202"/>
      <c r="Q121" s="113">
        <v>5</v>
      </c>
      <c r="R121" s="114"/>
      <c r="S121" s="115" t="str">
        <f t="shared" si="160"/>
        <v/>
      </c>
      <c r="T121" s="116"/>
      <c r="U121" s="116"/>
      <c r="V121" s="117" t="str">
        <f t="shared" si="155"/>
        <v/>
      </c>
      <c r="W121" s="116"/>
      <c r="X121" s="116"/>
      <c r="Y121" s="116"/>
      <c r="Z121" s="118" t="str">
        <f t="shared" si="161"/>
        <v/>
      </c>
      <c r="AA121" s="119" t="str">
        <f t="shared" si="156"/>
        <v/>
      </c>
      <c r="AB121" s="117" t="str">
        <f t="shared" si="157"/>
        <v/>
      </c>
      <c r="AC121" s="119" t="str">
        <f t="shared" si="158"/>
        <v/>
      </c>
      <c r="AD121" s="117" t="str">
        <f t="shared" si="162"/>
        <v/>
      </c>
      <c r="AE121" s="120" t="str">
        <f t="shared" ref="AE121:AE122" si="163">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11"/>
      <c r="B122" s="139"/>
      <c r="C122" s="139"/>
      <c r="D122" s="212"/>
      <c r="E122" s="204"/>
      <c r="F122" s="141"/>
      <c r="G122" s="212"/>
      <c r="H122" s="140"/>
      <c r="I122" s="213"/>
      <c r="J122" s="200"/>
      <c r="K122" s="201"/>
      <c r="L122" s="203"/>
      <c r="M122" s="201">
        <f>IF(NOT(ISERROR(MATCH(L122,_xlfn.ANCHORARRAY(E134),0))),K136&amp;"Por favor no seleccionar los criterios de impacto",L122)</f>
        <v>0</v>
      </c>
      <c r="N122" s="200"/>
      <c r="O122" s="201"/>
      <c r="P122" s="202"/>
      <c r="Q122" s="113">
        <v>6</v>
      </c>
      <c r="R122" s="114"/>
      <c r="S122" s="115" t="str">
        <f t="shared" si="160"/>
        <v/>
      </c>
      <c r="T122" s="116"/>
      <c r="U122" s="116"/>
      <c r="V122" s="117" t="str">
        <f t="shared" si="155"/>
        <v/>
      </c>
      <c r="W122" s="116"/>
      <c r="X122" s="116"/>
      <c r="Y122" s="116"/>
      <c r="Z122" s="118" t="str">
        <f t="shared" si="161"/>
        <v/>
      </c>
      <c r="AA122" s="119" t="str">
        <f t="shared" si="156"/>
        <v/>
      </c>
      <c r="AB122" s="117" t="str">
        <f t="shared" si="157"/>
        <v/>
      </c>
      <c r="AC122" s="119" t="str">
        <f t="shared" si="158"/>
        <v/>
      </c>
      <c r="AD122" s="117" t="str">
        <f t="shared" si="162"/>
        <v/>
      </c>
      <c r="AE122" s="120" t="str">
        <f t="shared" si="163"/>
        <v/>
      </c>
      <c r="AF122" s="116"/>
      <c r="AG122" s="121"/>
      <c r="AH122" s="122"/>
      <c r="AI122" s="123"/>
      <c r="AJ122" s="123"/>
      <c r="AK122" s="121"/>
      <c r="AL122" s="122"/>
    </row>
    <row r="123" spans="1:38" x14ac:dyDescent="0.3">
      <c r="A123" s="211">
        <v>10</v>
      </c>
      <c r="B123" s="139"/>
      <c r="C123" s="139"/>
      <c r="D123" s="212"/>
      <c r="E123" s="204"/>
      <c r="F123" s="141"/>
      <c r="G123" s="212"/>
      <c r="H123" s="140"/>
      <c r="I123" s="213"/>
      <c r="J123" s="200" t="str">
        <f>IF(I123&lt;=0,"",IF(I123&lt;=2,"Muy Baja",IF(I123&lt;=24,"Baja",IF(I123&lt;=500,"Media",IF(I123&lt;=5000,"Alta","Muy Alta")))))</f>
        <v/>
      </c>
      <c r="K123" s="201" t="str">
        <f>IF(J123="","",IF(J123="Muy Baja",0.2,IF(J123="Baja",0.4,IF(J123="Media",0.6,IF(J123="Alta",0.8,IF(J123="Muy Alta",1,))))))</f>
        <v/>
      </c>
      <c r="L123" s="203"/>
      <c r="M123" s="201">
        <f>IF(NOT(ISERROR(MATCH(L123,'Tabla Impacto'!$B$221:$B$223,0))),'Tabla Impacto'!$F$223&amp;"Por favor no seleccionar los criterios de impacto(Afectación Económica o presupuestal y Pérdida Reputacional)",L123)</f>
        <v>0</v>
      </c>
      <c r="N123" s="200" t="str">
        <f>IF(OR(M123='Tabla Impacto'!$C$11,M123='Tabla Impacto'!$D$11),"Leve",IF(OR(M123='Tabla Impacto'!$C$12,M123='Tabla Impacto'!$D$12),"Menor",IF(OR(M123='Tabla Impacto'!$C$13,M123='Tabla Impacto'!$D$13),"Moderado",IF(OR(M123='Tabla Impacto'!$C$14,M123='Tabla Impacto'!$D$14),"Mayor",IF(OR(M123='Tabla Impacto'!$C$15,M123='Tabla Impacto'!$D$15),"Catastrófico","")))))</f>
        <v/>
      </c>
      <c r="O123" s="201" t="str">
        <f>IF(N123="","",IF(N123="Leve",0.2,IF(N123="Menor",0.4,IF(N123="Moderado",0.6,IF(N123="Mayor",0.8,IF(N123="Catastrófico",1,))))))</f>
        <v/>
      </c>
      <c r="P123" s="202" t="str">
        <f>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11"/>
      <c r="B124" s="139"/>
      <c r="C124" s="139"/>
      <c r="D124" s="212"/>
      <c r="E124" s="204"/>
      <c r="F124" s="141"/>
      <c r="G124" s="212"/>
      <c r="H124" s="140"/>
      <c r="I124" s="213"/>
      <c r="J124" s="200"/>
      <c r="K124" s="201"/>
      <c r="L124" s="203"/>
      <c r="M124" s="201">
        <f>IF(NOT(ISERROR(MATCH(L124,_xlfn.ANCHORARRAY(E136),0))),K138&amp;"Por favor no seleccionar los criterios de impacto",L124)</f>
        <v>0</v>
      </c>
      <c r="N124" s="200"/>
      <c r="O124" s="201"/>
      <c r="P124" s="202"/>
      <c r="Q124" s="113">
        <v>2</v>
      </c>
      <c r="R124" s="114"/>
      <c r="S124" s="115" t="str">
        <f>IF(OR(T124="Preventivo",T124="Detectivo"),"Probabilidad",IF(T124="Correctivo","Impacto",""))</f>
        <v/>
      </c>
      <c r="T124" s="116"/>
      <c r="U124" s="116"/>
      <c r="V124" s="117" t="str">
        <f t="shared" ref="V124:V128" si="164">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65">IFERROR(IF(Z124="","",IF(Z124&lt;=0.2,"Muy Baja",IF(Z124&lt;=0.4,"Baja",IF(Z124&lt;=0.6,"Media",IF(Z124&lt;=0.8,"Alta","Muy Alta"))))),"")</f>
        <v/>
      </c>
      <c r="AB124" s="117" t="str">
        <f t="shared" ref="AB124:AB128" si="166">+Z124</f>
        <v/>
      </c>
      <c r="AC124" s="119" t="str">
        <f t="shared" ref="AC124:AC128" si="167">IFERROR(IF(AD124="","",IF(AD124&lt;=0.2,"Leve",IF(AD124&lt;=0.4,"Menor",IF(AD124&lt;=0.6,"Moderado",IF(AD124&lt;=0.8,"Mayor","Catastrófico"))))),"")</f>
        <v/>
      </c>
      <c r="AD124" s="117" t="str">
        <f>IFERROR(IF(AND(S123="Impacto",S124="Impacto"),(AD117-(+AD117*V124)),IF(S124="Impacto",($O$63-(+$O$63*V124)),IF(S124="Probabilidad",AD117,""))),"")</f>
        <v/>
      </c>
      <c r="AE124" s="120" t="str">
        <f t="shared" ref="AE124:AE125" si="168">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11"/>
      <c r="B125" s="139"/>
      <c r="C125" s="139"/>
      <c r="D125" s="212"/>
      <c r="E125" s="204"/>
      <c r="F125" s="141"/>
      <c r="G125" s="212"/>
      <c r="H125" s="140"/>
      <c r="I125" s="213"/>
      <c r="J125" s="200"/>
      <c r="K125" s="201"/>
      <c r="L125" s="203"/>
      <c r="M125" s="201">
        <f>IF(NOT(ISERROR(MATCH(L125,_xlfn.ANCHORARRAY(E137),0))),K139&amp;"Por favor no seleccionar los criterios de impacto",L125)</f>
        <v>0</v>
      </c>
      <c r="N125" s="200"/>
      <c r="O125" s="201"/>
      <c r="P125" s="202"/>
      <c r="Q125" s="113">
        <v>3</v>
      </c>
      <c r="R125" s="126"/>
      <c r="S125" s="115" t="str">
        <f>IF(OR(T125="Preventivo",T125="Detectivo"),"Probabilidad",IF(T125="Correctivo","Impacto",""))</f>
        <v/>
      </c>
      <c r="T125" s="116"/>
      <c r="U125" s="116"/>
      <c r="V125" s="117" t="str">
        <f t="shared" si="164"/>
        <v/>
      </c>
      <c r="W125" s="116"/>
      <c r="X125" s="116"/>
      <c r="Y125" s="116"/>
      <c r="Z125" s="118" t="str">
        <f>IFERROR(IF(AND(S124="Probabilidad",S125="Probabilidad"),(AB124-(+AB124*V125)),IF(AND(S124="Impacto",S125="Probabilidad"),(AB123-(+AB123*V125)),IF(S125="Impacto",AB124,""))),"")</f>
        <v/>
      </c>
      <c r="AA125" s="119" t="str">
        <f t="shared" si="165"/>
        <v/>
      </c>
      <c r="AB125" s="117" t="str">
        <f t="shared" si="166"/>
        <v/>
      </c>
      <c r="AC125" s="119" t="str">
        <f t="shared" si="167"/>
        <v/>
      </c>
      <c r="AD125" s="117" t="str">
        <f>IFERROR(IF(AND(S124="Impacto",S125="Impacto"),(AD124-(+AD124*V125)),IF(AND(S124="Probabilidad",S125="Impacto"),(AD123-(+AD123*V125)),IF(S125="Probabilidad",AD124,""))),"")</f>
        <v/>
      </c>
      <c r="AE125" s="120" t="str">
        <f t="shared" si="168"/>
        <v/>
      </c>
      <c r="AF125" s="116"/>
      <c r="AG125" s="121"/>
      <c r="AH125" s="122"/>
      <c r="AI125" s="123"/>
      <c r="AJ125" s="123"/>
      <c r="AK125" s="121"/>
      <c r="AL125" s="122"/>
    </row>
    <row r="126" spans="1:38" x14ac:dyDescent="0.3">
      <c r="A126" s="211"/>
      <c r="B126" s="139"/>
      <c r="C126" s="139"/>
      <c r="D126" s="212"/>
      <c r="E126" s="204"/>
      <c r="F126" s="141"/>
      <c r="G126" s="212"/>
      <c r="H126" s="140"/>
      <c r="I126" s="213"/>
      <c r="J126" s="200"/>
      <c r="K126" s="201"/>
      <c r="L126" s="203"/>
      <c r="M126" s="201">
        <f>IF(NOT(ISERROR(MATCH(L126,_xlfn.ANCHORARRAY(E138),0))),K140&amp;"Por favor no seleccionar los criterios de impacto",L126)</f>
        <v>0</v>
      </c>
      <c r="N126" s="200"/>
      <c r="O126" s="201"/>
      <c r="P126" s="202"/>
      <c r="Q126" s="113">
        <v>4</v>
      </c>
      <c r="R126" s="114"/>
      <c r="S126" s="115" t="str">
        <f t="shared" ref="S126:S128" si="169">IF(OR(T126="Preventivo",T126="Detectivo"),"Probabilidad",IF(T126="Correctivo","Impacto",""))</f>
        <v/>
      </c>
      <c r="T126" s="116"/>
      <c r="U126" s="116"/>
      <c r="V126" s="117" t="str">
        <f t="shared" si="164"/>
        <v/>
      </c>
      <c r="W126" s="116"/>
      <c r="X126" s="116"/>
      <c r="Y126" s="116"/>
      <c r="Z126" s="118" t="str">
        <f t="shared" ref="Z126:Z128" si="170">IFERROR(IF(AND(S125="Probabilidad",S126="Probabilidad"),(AB125-(+AB125*V126)),IF(AND(S125="Impacto",S126="Probabilidad"),(AB124-(+AB124*V126)),IF(S126="Impacto",AB125,""))),"")</f>
        <v/>
      </c>
      <c r="AA126" s="119" t="str">
        <f t="shared" si="165"/>
        <v/>
      </c>
      <c r="AB126" s="117" t="str">
        <f t="shared" si="166"/>
        <v/>
      </c>
      <c r="AC126" s="119" t="str">
        <f t="shared" si="167"/>
        <v/>
      </c>
      <c r="AD126" s="117" t="str">
        <f t="shared" ref="AD126:AD128" si="171">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11"/>
      <c r="B127" s="139"/>
      <c r="C127" s="139"/>
      <c r="D127" s="212"/>
      <c r="E127" s="204"/>
      <c r="F127" s="141"/>
      <c r="G127" s="212"/>
      <c r="H127" s="140"/>
      <c r="I127" s="213"/>
      <c r="J127" s="200"/>
      <c r="K127" s="201"/>
      <c r="L127" s="203"/>
      <c r="M127" s="201">
        <f>IF(NOT(ISERROR(MATCH(L127,_xlfn.ANCHORARRAY(E139),0))),K141&amp;"Por favor no seleccionar los criterios de impacto",L127)</f>
        <v>0</v>
      </c>
      <c r="N127" s="200"/>
      <c r="O127" s="201"/>
      <c r="P127" s="202"/>
      <c r="Q127" s="113">
        <v>5</v>
      </c>
      <c r="R127" s="114"/>
      <c r="S127" s="115" t="str">
        <f t="shared" si="169"/>
        <v/>
      </c>
      <c r="T127" s="116"/>
      <c r="U127" s="116"/>
      <c r="V127" s="117" t="str">
        <f t="shared" si="164"/>
        <v/>
      </c>
      <c r="W127" s="116"/>
      <c r="X127" s="116"/>
      <c r="Y127" s="116"/>
      <c r="Z127" s="118" t="str">
        <f t="shared" si="170"/>
        <v/>
      </c>
      <c r="AA127" s="119" t="str">
        <f t="shared" si="165"/>
        <v/>
      </c>
      <c r="AB127" s="117" t="str">
        <f t="shared" si="166"/>
        <v/>
      </c>
      <c r="AC127" s="119" t="str">
        <f t="shared" si="167"/>
        <v/>
      </c>
      <c r="AD127" s="117" t="str">
        <f t="shared" si="171"/>
        <v/>
      </c>
      <c r="AE127" s="120" t="str">
        <f t="shared" ref="AE127:AE128" si="172">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11"/>
      <c r="B128" s="139"/>
      <c r="C128" s="139"/>
      <c r="D128" s="212"/>
      <c r="E128" s="204"/>
      <c r="F128" s="141"/>
      <c r="G128" s="212"/>
      <c r="H128" s="140"/>
      <c r="I128" s="213"/>
      <c r="J128" s="200"/>
      <c r="K128" s="201"/>
      <c r="L128" s="203"/>
      <c r="M128" s="201">
        <f>IF(NOT(ISERROR(MATCH(L128,_xlfn.ANCHORARRAY(E140),0))),K142&amp;"Por favor no seleccionar los criterios de impacto",L128)</f>
        <v>0</v>
      </c>
      <c r="N128" s="200"/>
      <c r="O128" s="201"/>
      <c r="P128" s="202"/>
      <c r="Q128" s="113">
        <v>6</v>
      </c>
      <c r="R128" s="114"/>
      <c r="S128" s="115" t="str">
        <f t="shared" si="169"/>
        <v/>
      </c>
      <c r="T128" s="116"/>
      <c r="U128" s="116"/>
      <c r="V128" s="117" t="str">
        <f t="shared" si="164"/>
        <v/>
      </c>
      <c r="W128" s="116"/>
      <c r="X128" s="116"/>
      <c r="Y128" s="116"/>
      <c r="Z128" s="118" t="str">
        <f t="shared" si="170"/>
        <v/>
      </c>
      <c r="AA128" s="119" t="str">
        <f t="shared" si="165"/>
        <v/>
      </c>
      <c r="AB128" s="117" t="str">
        <f t="shared" si="166"/>
        <v/>
      </c>
      <c r="AC128" s="119" t="str">
        <f t="shared" si="167"/>
        <v/>
      </c>
      <c r="AD128" s="117" t="str">
        <f t="shared" si="171"/>
        <v/>
      </c>
      <c r="AE128" s="120" t="str">
        <f t="shared" si="172"/>
        <v/>
      </c>
      <c r="AF128" s="116"/>
      <c r="AG128" s="121"/>
      <c r="AH128" s="122"/>
      <c r="AI128" s="123"/>
      <c r="AJ128" s="123"/>
      <c r="AK128" s="121"/>
      <c r="AL128" s="122"/>
    </row>
    <row r="129" spans="1:38" s="132" customFormat="1" x14ac:dyDescent="0.3">
      <c r="A129" s="131"/>
      <c r="B129" s="131"/>
      <c r="C129" s="131"/>
      <c r="D129" s="131"/>
      <c r="G129" s="133"/>
      <c r="H129" s="133"/>
    </row>
    <row r="130" spans="1:38" ht="30" customHeight="1" x14ac:dyDescent="0.3">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row>
    <row r="131" spans="1:38" s="135" customFormat="1" x14ac:dyDescent="0.3">
      <c r="A131" s="134"/>
      <c r="B131" s="134"/>
      <c r="C131" s="134"/>
      <c r="D131" s="134"/>
      <c r="G131" s="136"/>
      <c r="H131" s="136"/>
    </row>
  </sheetData>
  <dataConsolidate/>
  <mergeCells count="296">
    <mergeCell ref="A1:AL1"/>
    <mergeCell ref="A2:AL2"/>
    <mergeCell ref="A3:AL3"/>
    <mergeCell ref="A4:AL4"/>
    <mergeCell ref="H7:H8"/>
    <mergeCell ref="F9:F14"/>
    <mergeCell ref="H9:H14"/>
    <mergeCell ref="D130:AL130"/>
    <mergeCell ref="L117:L122"/>
    <mergeCell ref="M117:M122"/>
    <mergeCell ref="N117:N122"/>
    <mergeCell ref="O117:O122"/>
    <mergeCell ref="P117:P122"/>
    <mergeCell ref="N123:N128"/>
    <mergeCell ref="O123:O128"/>
    <mergeCell ref="P123:P128"/>
    <mergeCell ref="N105:N110"/>
    <mergeCell ref="O105:O110"/>
    <mergeCell ref="P105:P110"/>
    <mergeCell ref="N111:N116"/>
    <mergeCell ref="O111:O116"/>
    <mergeCell ref="P111:P116"/>
    <mergeCell ref="K105:K110"/>
    <mergeCell ref="L99:L104"/>
    <mergeCell ref="O99:O104"/>
    <mergeCell ref="P99:P104"/>
    <mergeCell ref="A123:A128"/>
    <mergeCell ref="D123:D128"/>
    <mergeCell ref="E123:E128"/>
    <mergeCell ref="G123:G128"/>
    <mergeCell ref="I123:I128"/>
    <mergeCell ref="J123:J128"/>
    <mergeCell ref="K123:K128"/>
    <mergeCell ref="L123:L128"/>
    <mergeCell ref="M123:M128"/>
    <mergeCell ref="A117:A122"/>
    <mergeCell ref="D117:D122"/>
    <mergeCell ref="E117:E122"/>
    <mergeCell ref="G117:G122"/>
    <mergeCell ref="I117:I122"/>
    <mergeCell ref="J117:J122"/>
    <mergeCell ref="K117:K122"/>
    <mergeCell ref="L105:L110"/>
    <mergeCell ref="M105:M110"/>
    <mergeCell ref="A111:A116"/>
    <mergeCell ref="D111:D116"/>
    <mergeCell ref="E111:E116"/>
    <mergeCell ref="G111:G116"/>
    <mergeCell ref="I111:I116"/>
    <mergeCell ref="J111:J116"/>
    <mergeCell ref="K111:K116"/>
    <mergeCell ref="L111:L116"/>
    <mergeCell ref="M111:M116"/>
    <mergeCell ref="A105:A110"/>
    <mergeCell ref="D105:D110"/>
    <mergeCell ref="E105:E110"/>
    <mergeCell ref="G105:G110"/>
    <mergeCell ref="I105:I110"/>
    <mergeCell ref="J105:J110"/>
    <mergeCell ref="A93:A98"/>
    <mergeCell ref="D93:D98"/>
    <mergeCell ref="E93:E98"/>
    <mergeCell ref="A99:A104"/>
    <mergeCell ref="D99:D104"/>
    <mergeCell ref="E99:E104"/>
    <mergeCell ref="G99:G104"/>
    <mergeCell ref="I99:I104"/>
    <mergeCell ref="J99:J104"/>
    <mergeCell ref="K99:K104"/>
    <mergeCell ref="G93:G98"/>
    <mergeCell ref="I93:I98"/>
    <mergeCell ref="J93:J98"/>
    <mergeCell ref="K93:K98"/>
    <mergeCell ref="L93:L98"/>
    <mergeCell ref="L81:L86"/>
    <mergeCell ref="M81:M86"/>
    <mergeCell ref="N81:N86"/>
    <mergeCell ref="M99:M104"/>
    <mergeCell ref="N99:N104"/>
    <mergeCell ref="O81:O86"/>
    <mergeCell ref="P81:P86"/>
    <mergeCell ref="L87:L92"/>
    <mergeCell ref="M87:M92"/>
    <mergeCell ref="N87:N92"/>
    <mergeCell ref="O87:O92"/>
    <mergeCell ref="P87:P92"/>
    <mergeCell ref="M93:M98"/>
    <mergeCell ref="N93:N98"/>
    <mergeCell ref="O93:O98"/>
    <mergeCell ref="P93:P98"/>
    <mergeCell ref="A87:A92"/>
    <mergeCell ref="D87:D92"/>
    <mergeCell ref="E87:E92"/>
    <mergeCell ref="G87:G92"/>
    <mergeCell ref="I87:I92"/>
    <mergeCell ref="J87:J92"/>
    <mergeCell ref="K87:K92"/>
    <mergeCell ref="A81:A86"/>
    <mergeCell ref="D81:D86"/>
    <mergeCell ref="E81:E86"/>
    <mergeCell ref="G81:G86"/>
    <mergeCell ref="I81:I86"/>
    <mergeCell ref="J81:J86"/>
    <mergeCell ref="K81:K86"/>
    <mergeCell ref="L69:L74"/>
    <mergeCell ref="M69:M74"/>
    <mergeCell ref="N69:N74"/>
    <mergeCell ref="O69:O74"/>
    <mergeCell ref="P69:P74"/>
    <mergeCell ref="A75:A80"/>
    <mergeCell ref="D75:D80"/>
    <mergeCell ref="E75:E80"/>
    <mergeCell ref="G75:G80"/>
    <mergeCell ref="I75:I80"/>
    <mergeCell ref="J75:J80"/>
    <mergeCell ref="K75:K80"/>
    <mergeCell ref="L75:L80"/>
    <mergeCell ref="M75:M80"/>
    <mergeCell ref="N75:N80"/>
    <mergeCell ref="O75:O80"/>
    <mergeCell ref="P75:P80"/>
    <mergeCell ref="A69:A74"/>
    <mergeCell ref="D69:D74"/>
    <mergeCell ref="E69:E74"/>
    <mergeCell ref="G69:G74"/>
    <mergeCell ref="I69:I74"/>
    <mergeCell ref="J69:J74"/>
    <mergeCell ref="K69:K74"/>
    <mergeCell ref="D15:D20"/>
    <mergeCell ref="E15:E20"/>
    <mergeCell ref="K33:K38"/>
    <mergeCell ref="C9:C14"/>
    <mergeCell ref="B9:B14"/>
    <mergeCell ref="C15:C20"/>
    <mergeCell ref="B15:B20"/>
    <mergeCell ref="A27:A32"/>
    <mergeCell ref="D27:D32"/>
    <mergeCell ref="E27:E32"/>
    <mergeCell ref="G27:G32"/>
    <mergeCell ref="I27:I32"/>
    <mergeCell ref="J27:J32"/>
    <mergeCell ref="K27:K32"/>
    <mergeCell ref="A33:A38"/>
    <mergeCell ref="J15:J20"/>
    <mergeCell ref="K15:K20"/>
    <mergeCell ref="E21:E26"/>
    <mergeCell ref="G21:G26"/>
    <mergeCell ref="I21:I26"/>
    <mergeCell ref="J21:J26"/>
    <mergeCell ref="K21:K26"/>
    <mergeCell ref="AC7:AC8"/>
    <mergeCell ref="AA7:AA8"/>
    <mergeCell ref="AB7:AB8"/>
    <mergeCell ref="S7:S8"/>
    <mergeCell ref="T7:Y7"/>
    <mergeCell ref="G9:G14"/>
    <mergeCell ref="I9:I14"/>
    <mergeCell ref="J9:J14"/>
    <mergeCell ref="A9:A14"/>
    <mergeCell ref="D9:D14"/>
    <mergeCell ref="E9:E14"/>
    <mergeCell ref="K7:K8"/>
    <mergeCell ref="N7:N8"/>
    <mergeCell ref="O7:O8"/>
    <mergeCell ref="P7:P8"/>
    <mergeCell ref="L7:L8"/>
    <mergeCell ref="M7:M8"/>
    <mergeCell ref="P9:P14"/>
    <mergeCell ref="K9:K14"/>
    <mergeCell ref="L9:L14"/>
    <mergeCell ref="M9:M14"/>
    <mergeCell ref="N9:N14"/>
    <mergeCell ref="O9:O14"/>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A21:A26"/>
    <mergeCell ref="D21:D26"/>
    <mergeCell ref="L21:L26"/>
    <mergeCell ref="M21:M26"/>
    <mergeCell ref="A39:A44"/>
    <mergeCell ref="D39:D44"/>
    <mergeCell ref="E39:E44"/>
    <mergeCell ref="G39:G44"/>
    <mergeCell ref="D33:D38"/>
    <mergeCell ref="E33:E38"/>
    <mergeCell ref="L39:L44"/>
    <mergeCell ref="M39:M44"/>
    <mergeCell ref="G33:G38"/>
    <mergeCell ref="I33:I38"/>
    <mergeCell ref="J33:J38"/>
    <mergeCell ref="L33:L38"/>
    <mergeCell ref="I39:I44"/>
    <mergeCell ref="J39:J44"/>
    <mergeCell ref="K39:K44"/>
    <mergeCell ref="M33:M38"/>
    <mergeCell ref="A57:A62"/>
    <mergeCell ref="D57:D62"/>
    <mergeCell ref="E57:E62"/>
    <mergeCell ref="G57:G62"/>
    <mergeCell ref="I57:I62"/>
    <mergeCell ref="J57:J62"/>
    <mergeCell ref="K57:K62"/>
    <mergeCell ref="A6:I6"/>
    <mergeCell ref="J6:P6"/>
    <mergeCell ref="A51:A56"/>
    <mergeCell ref="A45:A50"/>
    <mergeCell ref="E45:E50"/>
    <mergeCell ref="O45:O50"/>
    <mergeCell ref="P45:P50"/>
    <mergeCell ref="G51:G56"/>
    <mergeCell ref="I51:I56"/>
    <mergeCell ref="J51:J56"/>
    <mergeCell ref="K51:K56"/>
    <mergeCell ref="L51:L56"/>
    <mergeCell ref="G45:G50"/>
    <mergeCell ref="I45:I50"/>
    <mergeCell ref="J45:J50"/>
    <mergeCell ref="K45:K50"/>
    <mergeCell ref="M51:M56"/>
    <mergeCell ref="Q6:Y6"/>
    <mergeCell ref="Z6:AF6"/>
    <mergeCell ref="AG6:AL6"/>
    <mergeCell ref="O57:O62"/>
    <mergeCell ref="P57:P62"/>
    <mergeCell ref="C21:C26"/>
    <mergeCell ref="B21:B26"/>
    <mergeCell ref="B27:B32"/>
    <mergeCell ref="C27:C32"/>
    <mergeCell ref="D51:D56"/>
    <mergeCell ref="E51:E56"/>
    <mergeCell ref="D45:D50"/>
    <mergeCell ref="N51:N56"/>
    <mergeCell ref="O51:O56"/>
    <mergeCell ref="P51:P56"/>
    <mergeCell ref="L45:L50"/>
    <mergeCell ref="M45:M50"/>
    <mergeCell ref="N45:N50"/>
    <mergeCell ref="N15:N20"/>
    <mergeCell ref="O15:O20"/>
    <mergeCell ref="P15:P20"/>
    <mergeCell ref="N21:N26"/>
    <mergeCell ref="G15:G20"/>
    <mergeCell ref="I15:I20"/>
    <mergeCell ref="A63:A68"/>
    <mergeCell ref="D63:D68"/>
    <mergeCell ref="E63:E68"/>
    <mergeCell ref="G63:G68"/>
    <mergeCell ref="I63:I68"/>
    <mergeCell ref="J63:J68"/>
    <mergeCell ref="K63:K68"/>
    <mergeCell ref="L63:L68"/>
    <mergeCell ref="M63:M68"/>
    <mergeCell ref="N63:N68"/>
    <mergeCell ref="O63:O68"/>
    <mergeCell ref="P63:P68"/>
    <mergeCell ref="L57:L62"/>
    <mergeCell ref="M57:M62"/>
    <mergeCell ref="F15:F20"/>
    <mergeCell ref="H15:H20"/>
    <mergeCell ref="H21:H26"/>
    <mergeCell ref="F21:F26"/>
    <mergeCell ref="F27:F32"/>
    <mergeCell ref="H27:H32"/>
    <mergeCell ref="N57:N62"/>
    <mergeCell ref="N39:N44"/>
    <mergeCell ref="N33:N38"/>
    <mergeCell ref="L27:L32"/>
    <mergeCell ref="M27:M32"/>
    <mergeCell ref="N27:N32"/>
    <mergeCell ref="O27:O32"/>
    <mergeCell ref="P27:P32"/>
    <mergeCell ref="O33:O38"/>
    <mergeCell ref="P33:P38"/>
    <mergeCell ref="O39:O44"/>
    <mergeCell ref="P39:P44"/>
    <mergeCell ref="M15:M20"/>
  </mergeCells>
  <phoneticPr fontId="61" type="noConversion"/>
  <conditionalFormatting sqref="J15">
    <cfRule type="cellIs" dxfId="476" priority="561" operator="equal">
      <formula>"Muy Alta"</formula>
    </cfRule>
    <cfRule type="cellIs" dxfId="475" priority="562" operator="equal">
      <formula>"Alta"</formula>
    </cfRule>
    <cfRule type="cellIs" dxfId="474" priority="563" operator="equal">
      <formula>"Media"</formula>
    </cfRule>
    <cfRule type="cellIs" dxfId="473" priority="564" operator="equal">
      <formula>"Baja"</formula>
    </cfRule>
    <cfRule type="cellIs" dxfId="472" priority="565" operator="equal">
      <formula>"Muy Baja"</formula>
    </cfRule>
  </conditionalFormatting>
  <conditionalFormatting sqref="N15 N21 N27 N33 N39 N45 N51 N57 N63">
    <cfRule type="cellIs" dxfId="471" priority="556" operator="equal">
      <formula>"Catastrófico"</formula>
    </cfRule>
    <cfRule type="cellIs" dxfId="470" priority="557" operator="equal">
      <formula>"Mayor"</formula>
    </cfRule>
    <cfRule type="cellIs" dxfId="469" priority="558" operator="equal">
      <formula>"Moderado"</formula>
    </cfRule>
    <cfRule type="cellIs" dxfId="468" priority="559" operator="equal">
      <formula>"Menor"</formula>
    </cfRule>
    <cfRule type="cellIs" dxfId="467" priority="560" operator="equal">
      <formula>"Leve"</formula>
    </cfRule>
  </conditionalFormatting>
  <conditionalFormatting sqref="P9">
    <cfRule type="cellIs" dxfId="466" priority="552" operator="equal">
      <formula>"Extremo"</formula>
    </cfRule>
    <cfRule type="cellIs" dxfId="465" priority="553" operator="equal">
      <formula>"Alto"</formula>
    </cfRule>
    <cfRule type="cellIs" dxfId="464" priority="554" operator="equal">
      <formula>"Moderado"</formula>
    </cfRule>
    <cfRule type="cellIs" dxfId="463" priority="555" operator="equal">
      <formula>"Bajo"</formula>
    </cfRule>
  </conditionalFormatting>
  <conditionalFormatting sqref="AA9:AA14">
    <cfRule type="cellIs" dxfId="462" priority="547" operator="equal">
      <formula>"Muy Alta"</formula>
    </cfRule>
    <cfRule type="cellIs" dxfId="461" priority="548" operator="equal">
      <formula>"Alta"</formula>
    </cfRule>
    <cfRule type="cellIs" dxfId="460" priority="549" operator="equal">
      <formula>"Media"</formula>
    </cfRule>
    <cfRule type="cellIs" dxfId="459" priority="550" operator="equal">
      <formula>"Baja"</formula>
    </cfRule>
    <cfRule type="cellIs" dxfId="458" priority="551" operator="equal">
      <formula>"Muy Baja"</formula>
    </cfRule>
  </conditionalFormatting>
  <conditionalFormatting sqref="AC9:AC14">
    <cfRule type="cellIs" dxfId="457" priority="542" operator="equal">
      <formula>"Catastrófico"</formula>
    </cfRule>
    <cfRule type="cellIs" dxfId="456" priority="543" operator="equal">
      <formula>"Mayor"</formula>
    </cfRule>
    <cfRule type="cellIs" dxfId="455" priority="544" operator="equal">
      <formula>"Moderado"</formula>
    </cfRule>
    <cfRule type="cellIs" dxfId="454" priority="545" operator="equal">
      <formula>"Menor"</formula>
    </cfRule>
    <cfRule type="cellIs" dxfId="453" priority="546" operator="equal">
      <formula>"Leve"</formula>
    </cfRule>
  </conditionalFormatting>
  <conditionalFormatting sqref="AE9:AE14">
    <cfRule type="cellIs" dxfId="452" priority="538" operator="equal">
      <formula>"Extremo"</formula>
    </cfRule>
    <cfRule type="cellIs" dxfId="451" priority="539" operator="equal">
      <formula>"Alto"</formula>
    </cfRule>
    <cfRule type="cellIs" dxfId="450" priority="540" operator="equal">
      <formula>"Moderado"</formula>
    </cfRule>
    <cfRule type="cellIs" dxfId="449" priority="541" operator="equal">
      <formula>"Bajo"</formula>
    </cfRule>
  </conditionalFormatting>
  <conditionalFormatting sqref="J57">
    <cfRule type="cellIs" dxfId="448" priority="295" operator="equal">
      <formula>"Muy Alta"</formula>
    </cfRule>
    <cfRule type="cellIs" dxfId="447" priority="296" operator="equal">
      <formula>"Alta"</formula>
    </cfRule>
    <cfRule type="cellIs" dxfId="446" priority="297" operator="equal">
      <formula>"Media"</formula>
    </cfRule>
    <cfRule type="cellIs" dxfId="445" priority="298" operator="equal">
      <formula>"Baja"</formula>
    </cfRule>
    <cfRule type="cellIs" dxfId="444" priority="299" operator="equal">
      <formula>"Muy Baja"</formula>
    </cfRule>
  </conditionalFormatting>
  <conditionalFormatting sqref="P15">
    <cfRule type="cellIs" dxfId="443" priority="482" operator="equal">
      <formula>"Extremo"</formula>
    </cfRule>
    <cfRule type="cellIs" dxfId="442" priority="483" operator="equal">
      <formula>"Alto"</formula>
    </cfRule>
    <cfRule type="cellIs" dxfId="441" priority="484" operator="equal">
      <formula>"Moderado"</formula>
    </cfRule>
    <cfRule type="cellIs" dxfId="440" priority="485" operator="equal">
      <formula>"Bajo"</formula>
    </cfRule>
  </conditionalFormatting>
  <conditionalFormatting sqref="AA15:AA20">
    <cfRule type="cellIs" dxfId="439" priority="477" operator="equal">
      <formula>"Muy Alta"</formula>
    </cfRule>
    <cfRule type="cellIs" dxfId="438" priority="478" operator="equal">
      <formula>"Alta"</formula>
    </cfRule>
    <cfRule type="cellIs" dxfId="437" priority="479" operator="equal">
      <formula>"Media"</formula>
    </cfRule>
    <cfRule type="cellIs" dxfId="436" priority="480" operator="equal">
      <formula>"Baja"</formula>
    </cfRule>
    <cfRule type="cellIs" dxfId="435" priority="481" operator="equal">
      <formula>"Muy Baja"</formula>
    </cfRule>
  </conditionalFormatting>
  <conditionalFormatting sqref="AC15:AC20">
    <cfRule type="cellIs" dxfId="434" priority="472" operator="equal">
      <formula>"Catastrófico"</formula>
    </cfRule>
    <cfRule type="cellIs" dxfId="433" priority="473" operator="equal">
      <formula>"Mayor"</formula>
    </cfRule>
    <cfRule type="cellIs" dxfId="432" priority="474" operator="equal">
      <formula>"Moderado"</formula>
    </cfRule>
    <cfRule type="cellIs" dxfId="431" priority="475" operator="equal">
      <formula>"Menor"</formula>
    </cfRule>
    <cfRule type="cellIs" dxfId="430" priority="476" operator="equal">
      <formula>"Leve"</formula>
    </cfRule>
  </conditionalFormatting>
  <conditionalFormatting sqref="AE15:AE20">
    <cfRule type="cellIs" dxfId="429" priority="468" operator="equal">
      <formula>"Extremo"</formula>
    </cfRule>
    <cfRule type="cellIs" dxfId="428" priority="469" operator="equal">
      <formula>"Alto"</formula>
    </cfRule>
    <cfRule type="cellIs" dxfId="427" priority="470" operator="equal">
      <formula>"Moderado"</formula>
    </cfRule>
    <cfRule type="cellIs" dxfId="426" priority="471" operator="equal">
      <formula>"Bajo"</formula>
    </cfRule>
  </conditionalFormatting>
  <conditionalFormatting sqref="J21">
    <cfRule type="cellIs" dxfId="425" priority="463" operator="equal">
      <formula>"Muy Alta"</formula>
    </cfRule>
    <cfRule type="cellIs" dxfId="424" priority="464" operator="equal">
      <formula>"Alta"</formula>
    </cfRule>
    <cfRule type="cellIs" dxfId="423" priority="465" operator="equal">
      <formula>"Media"</formula>
    </cfRule>
    <cfRule type="cellIs" dxfId="422" priority="466" operator="equal">
      <formula>"Baja"</formula>
    </cfRule>
    <cfRule type="cellIs" dxfId="421" priority="467" operator="equal">
      <formula>"Muy Baja"</formula>
    </cfRule>
  </conditionalFormatting>
  <conditionalFormatting sqref="P21">
    <cfRule type="cellIs" dxfId="420" priority="454" operator="equal">
      <formula>"Extremo"</formula>
    </cfRule>
    <cfRule type="cellIs" dxfId="419" priority="455" operator="equal">
      <formula>"Alto"</formula>
    </cfRule>
    <cfRule type="cellIs" dxfId="418" priority="456" operator="equal">
      <formula>"Moderado"</formula>
    </cfRule>
    <cfRule type="cellIs" dxfId="417" priority="457" operator="equal">
      <formula>"Bajo"</formula>
    </cfRule>
  </conditionalFormatting>
  <conditionalFormatting sqref="AA21:AA26">
    <cfRule type="cellIs" dxfId="416" priority="449" operator="equal">
      <formula>"Muy Alta"</formula>
    </cfRule>
    <cfRule type="cellIs" dxfId="415" priority="450" operator="equal">
      <formula>"Alta"</formula>
    </cfRule>
    <cfRule type="cellIs" dxfId="414" priority="451" operator="equal">
      <formula>"Media"</formula>
    </cfRule>
    <cfRule type="cellIs" dxfId="413" priority="452" operator="equal">
      <formula>"Baja"</formula>
    </cfRule>
    <cfRule type="cellIs" dxfId="412" priority="453" operator="equal">
      <formula>"Muy Baja"</formula>
    </cfRule>
  </conditionalFormatting>
  <conditionalFormatting sqref="AC21:AC26">
    <cfRule type="cellIs" dxfId="411" priority="444" operator="equal">
      <formula>"Catastrófico"</formula>
    </cfRule>
    <cfRule type="cellIs" dxfId="410" priority="445" operator="equal">
      <formula>"Mayor"</formula>
    </cfRule>
    <cfRule type="cellIs" dxfId="409" priority="446" operator="equal">
      <formula>"Moderado"</formula>
    </cfRule>
    <cfRule type="cellIs" dxfId="408" priority="447" operator="equal">
      <formula>"Menor"</formula>
    </cfRule>
    <cfRule type="cellIs" dxfId="407" priority="448" operator="equal">
      <formula>"Leve"</formula>
    </cfRule>
  </conditionalFormatting>
  <conditionalFormatting sqref="AE21:AE26">
    <cfRule type="cellIs" dxfId="406" priority="440" operator="equal">
      <formula>"Extremo"</formula>
    </cfRule>
    <cfRule type="cellIs" dxfId="405" priority="441" operator="equal">
      <formula>"Alto"</formula>
    </cfRule>
    <cfRule type="cellIs" dxfId="404" priority="442" operator="equal">
      <formula>"Moderado"</formula>
    </cfRule>
    <cfRule type="cellIs" dxfId="403" priority="443" operator="equal">
      <formula>"Bajo"</formula>
    </cfRule>
  </conditionalFormatting>
  <conditionalFormatting sqref="J27">
    <cfRule type="cellIs" dxfId="402" priority="435" operator="equal">
      <formula>"Muy Alta"</formula>
    </cfRule>
    <cfRule type="cellIs" dxfId="401" priority="436" operator="equal">
      <formula>"Alta"</formula>
    </cfRule>
    <cfRule type="cellIs" dxfId="400" priority="437" operator="equal">
      <formula>"Media"</formula>
    </cfRule>
    <cfRule type="cellIs" dxfId="399" priority="438" operator="equal">
      <formula>"Baja"</formula>
    </cfRule>
    <cfRule type="cellIs" dxfId="398" priority="439" operator="equal">
      <formula>"Muy Baja"</formula>
    </cfRule>
  </conditionalFormatting>
  <conditionalFormatting sqref="P27">
    <cfRule type="cellIs" dxfId="397" priority="426" operator="equal">
      <formula>"Extremo"</formula>
    </cfRule>
    <cfRule type="cellIs" dxfId="396" priority="427" operator="equal">
      <formula>"Alto"</formula>
    </cfRule>
    <cfRule type="cellIs" dxfId="395" priority="428" operator="equal">
      <formula>"Moderado"</formula>
    </cfRule>
    <cfRule type="cellIs" dxfId="394" priority="429" operator="equal">
      <formula>"Bajo"</formula>
    </cfRule>
  </conditionalFormatting>
  <conditionalFormatting sqref="AA27:AA32">
    <cfRule type="cellIs" dxfId="393" priority="421" operator="equal">
      <formula>"Muy Alta"</formula>
    </cfRule>
    <cfRule type="cellIs" dxfId="392" priority="422" operator="equal">
      <formula>"Alta"</formula>
    </cfRule>
    <cfRule type="cellIs" dxfId="391" priority="423" operator="equal">
      <formula>"Media"</formula>
    </cfRule>
    <cfRule type="cellIs" dxfId="390" priority="424" operator="equal">
      <formula>"Baja"</formula>
    </cfRule>
    <cfRule type="cellIs" dxfId="389" priority="425" operator="equal">
      <formula>"Muy Baja"</formula>
    </cfRule>
  </conditionalFormatting>
  <conditionalFormatting sqref="AC27:AC32">
    <cfRule type="cellIs" dxfId="388" priority="416" operator="equal">
      <formula>"Catastrófico"</formula>
    </cfRule>
    <cfRule type="cellIs" dxfId="387" priority="417" operator="equal">
      <formula>"Mayor"</formula>
    </cfRule>
    <cfRule type="cellIs" dxfId="386" priority="418" operator="equal">
      <formula>"Moderado"</formula>
    </cfRule>
    <cfRule type="cellIs" dxfId="385" priority="419" operator="equal">
      <formula>"Menor"</formula>
    </cfRule>
    <cfRule type="cellIs" dxfId="384" priority="420" operator="equal">
      <formula>"Leve"</formula>
    </cfRule>
  </conditionalFormatting>
  <conditionalFormatting sqref="AE27:AE32">
    <cfRule type="cellIs" dxfId="383" priority="412" operator="equal">
      <formula>"Extremo"</formula>
    </cfRule>
    <cfRule type="cellIs" dxfId="382" priority="413" operator="equal">
      <formula>"Alto"</formula>
    </cfRule>
    <cfRule type="cellIs" dxfId="381" priority="414" operator="equal">
      <formula>"Moderado"</formula>
    </cfRule>
    <cfRule type="cellIs" dxfId="380" priority="415" operator="equal">
      <formula>"Bajo"</formula>
    </cfRule>
  </conditionalFormatting>
  <conditionalFormatting sqref="J33">
    <cfRule type="cellIs" dxfId="379" priority="407" operator="equal">
      <formula>"Muy Alta"</formula>
    </cfRule>
    <cfRule type="cellIs" dxfId="378" priority="408" operator="equal">
      <formula>"Alta"</formula>
    </cfRule>
    <cfRule type="cellIs" dxfId="377" priority="409" operator="equal">
      <formula>"Media"</formula>
    </cfRule>
    <cfRule type="cellIs" dxfId="376" priority="410" operator="equal">
      <formula>"Baja"</formula>
    </cfRule>
    <cfRule type="cellIs" dxfId="375" priority="411" operator="equal">
      <formula>"Muy Baja"</formula>
    </cfRule>
  </conditionalFormatting>
  <conditionalFormatting sqref="P33">
    <cfRule type="cellIs" dxfId="374" priority="398" operator="equal">
      <formula>"Extremo"</formula>
    </cfRule>
    <cfRule type="cellIs" dxfId="373" priority="399" operator="equal">
      <formula>"Alto"</formula>
    </cfRule>
    <cfRule type="cellIs" dxfId="372" priority="400" operator="equal">
      <formula>"Moderado"</formula>
    </cfRule>
    <cfRule type="cellIs" dxfId="371" priority="401" operator="equal">
      <formula>"Bajo"</formula>
    </cfRule>
  </conditionalFormatting>
  <conditionalFormatting sqref="AA33:AA38">
    <cfRule type="cellIs" dxfId="370" priority="393" operator="equal">
      <formula>"Muy Alta"</formula>
    </cfRule>
    <cfRule type="cellIs" dxfId="369" priority="394" operator="equal">
      <formula>"Alta"</formula>
    </cfRule>
    <cfRule type="cellIs" dxfId="368" priority="395" operator="equal">
      <formula>"Media"</formula>
    </cfRule>
    <cfRule type="cellIs" dxfId="367" priority="396" operator="equal">
      <formula>"Baja"</formula>
    </cfRule>
    <cfRule type="cellIs" dxfId="366" priority="397" operator="equal">
      <formula>"Muy Baja"</formula>
    </cfRule>
  </conditionalFormatting>
  <conditionalFormatting sqref="AC33:AC38">
    <cfRule type="cellIs" dxfId="365" priority="388" operator="equal">
      <formula>"Catastrófico"</formula>
    </cfRule>
    <cfRule type="cellIs" dxfId="364" priority="389" operator="equal">
      <formula>"Mayor"</formula>
    </cfRule>
    <cfRule type="cellIs" dxfId="363" priority="390" operator="equal">
      <formula>"Moderado"</formula>
    </cfRule>
    <cfRule type="cellIs" dxfId="362" priority="391" operator="equal">
      <formula>"Menor"</formula>
    </cfRule>
    <cfRule type="cellIs" dxfId="361" priority="392" operator="equal">
      <formula>"Leve"</formula>
    </cfRule>
  </conditionalFormatting>
  <conditionalFormatting sqref="AE33:AE38">
    <cfRule type="cellIs" dxfId="360" priority="384" operator="equal">
      <formula>"Extremo"</formula>
    </cfRule>
    <cfRule type="cellIs" dxfId="359" priority="385" operator="equal">
      <formula>"Alto"</formula>
    </cfRule>
    <cfRule type="cellIs" dxfId="358" priority="386" operator="equal">
      <formula>"Moderado"</formula>
    </cfRule>
    <cfRule type="cellIs" dxfId="357" priority="387" operator="equal">
      <formula>"Bajo"</formula>
    </cfRule>
  </conditionalFormatting>
  <conditionalFormatting sqref="J39">
    <cfRule type="cellIs" dxfId="356" priority="379" operator="equal">
      <formula>"Muy Alta"</formula>
    </cfRule>
    <cfRule type="cellIs" dxfId="355" priority="380" operator="equal">
      <formula>"Alta"</formula>
    </cfRule>
    <cfRule type="cellIs" dxfId="354" priority="381" operator="equal">
      <formula>"Media"</formula>
    </cfRule>
    <cfRule type="cellIs" dxfId="353" priority="382" operator="equal">
      <formula>"Baja"</formula>
    </cfRule>
    <cfRule type="cellIs" dxfId="352" priority="383" operator="equal">
      <formula>"Muy Baja"</formula>
    </cfRule>
  </conditionalFormatting>
  <conditionalFormatting sqref="P39">
    <cfRule type="cellIs" dxfId="351" priority="370" operator="equal">
      <formula>"Extremo"</formula>
    </cfRule>
    <cfRule type="cellIs" dxfId="350" priority="371" operator="equal">
      <formula>"Alto"</formula>
    </cfRule>
    <cfRule type="cellIs" dxfId="349" priority="372" operator="equal">
      <formula>"Moderado"</formula>
    </cfRule>
    <cfRule type="cellIs" dxfId="348" priority="373" operator="equal">
      <formula>"Bajo"</formula>
    </cfRule>
  </conditionalFormatting>
  <conditionalFormatting sqref="AA39:AA44">
    <cfRule type="cellIs" dxfId="347" priority="365" operator="equal">
      <formula>"Muy Alta"</formula>
    </cfRule>
    <cfRule type="cellIs" dxfId="346" priority="366" operator="equal">
      <formula>"Alta"</formula>
    </cfRule>
    <cfRule type="cellIs" dxfId="345" priority="367" operator="equal">
      <formula>"Media"</formula>
    </cfRule>
    <cfRule type="cellIs" dxfId="344" priority="368" operator="equal">
      <formula>"Baja"</formula>
    </cfRule>
    <cfRule type="cellIs" dxfId="343" priority="369" operator="equal">
      <formula>"Muy Baja"</formula>
    </cfRule>
  </conditionalFormatting>
  <conditionalFormatting sqref="AC39:AC44">
    <cfRule type="cellIs" dxfId="342" priority="360" operator="equal">
      <formula>"Catastrófico"</formula>
    </cfRule>
    <cfRule type="cellIs" dxfId="341" priority="361" operator="equal">
      <formula>"Mayor"</formula>
    </cfRule>
    <cfRule type="cellIs" dxfId="340" priority="362" operator="equal">
      <formula>"Moderado"</formula>
    </cfRule>
    <cfRule type="cellIs" dxfId="339" priority="363" operator="equal">
      <formula>"Menor"</formula>
    </cfRule>
    <cfRule type="cellIs" dxfId="338" priority="364" operator="equal">
      <formula>"Leve"</formula>
    </cfRule>
  </conditionalFormatting>
  <conditionalFormatting sqref="AE39:AE44">
    <cfRule type="cellIs" dxfId="337" priority="356" operator="equal">
      <formula>"Extremo"</formula>
    </cfRule>
    <cfRule type="cellIs" dxfId="336" priority="357" operator="equal">
      <formula>"Alto"</formula>
    </cfRule>
    <cfRule type="cellIs" dxfId="335" priority="358" operator="equal">
      <formula>"Moderado"</formula>
    </cfRule>
    <cfRule type="cellIs" dxfId="334" priority="359" operator="equal">
      <formula>"Bajo"</formula>
    </cfRule>
  </conditionalFormatting>
  <conditionalFormatting sqref="J45">
    <cfRule type="cellIs" dxfId="333" priority="351" operator="equal">
      <formula>"Muy Alta"</formula>
    </cfRule>
    <cfRule type="cellIs" dxfId="332" priority="352" operator="equal">
      <formula>"Alta"</formula>
    </cfRule>
    <cfRule type="cellIs" dxfId="331" priority="353" operator="equal">
      <formula>"Media"</formula>
    </cfRule>
    <cfRule type="cellIs" dxfId="330" priority="354" operator="equal">
      <formula>"Baja"</formula>
    </cfRule>
    <cfRule type="cellIs" dxfId="329" priority="355" operator="equal">
      <formula>"Muy Baja"</formula>
    </cfRule>
  </conditionalFormatting>
  <conditionalFormatting sqref="P45">
    <cfRule type="cellIs" dxfId="328" priority="342" operator="equal">
      <formula>"Extremo"</formula>
    </cfRule>
    <cfRule type="cellIs" dxfId="327" priority="343" operator="equal">
      <formula>"Alto"</formula>
    </cfRule>
    <cfRule type="cellIs" dxfId="326" priority="344" operator="equal">
      <formula>"Moderado"</formula>
    </cfRule>
    <cfRule type="cellIs" dxfId="325" priority="345" operator="equal">
      <formula>"Bajo"</formula>
    </cfRule>
  </conditionalFormatting>
  <conditionalFormatting sqref="AA45:AA50">
    <cfRule type="cellIs" dxfId="324" priority="337" operator="equal">
      <formula>"Muy Alta"</formula>
    </cfRule>
    <cfRule type="cellIs" dxfId="323" priority="338" operator="equal">
      <formula>"Alta"</formula>
    </cfRule>
    <cfRule type="cellIs" dxfId="322" priority="339" operator="equal">
      <formula>"Media"</formula>
    </cfRule>
    <cfRule type="cellIs" dxfId="321" priority="340" operator="equal">
      <formula>"Baja"</formula>
    </cfRule>
    <cfRule type="cellIs" dxfId="320" priority="341" operator="equal">
      <formula>"Muy Baja"</formula>
    </cfRule>
  </conditionalFormatting>
  <conditionalFormatting sqref="AC45:AC50">
    <cfRule type="cellIs" dxfId="319" priority="332" operator="equal">
      <formula>"Catastrófico"</formula>
    </cfRule>
    <cfRule type="cellIs" dxfId="318" priority="333" operator="equal">
      <formula>"Mayor"</formula>
    </cfRule>
    <cfRule type="cellIs" dxfId="317" priority="334" operator="equal">
      <formula>"Moderado"</formula>
    </cfRule>
    <cfRule type="cellIs" dxfId="316" priority="335" operator="equal">
      <formula>"Menor"</formula>
    </cfRule>
    <cfRule type="cellIs" dxfId="315" priority="336" operator="equal">
      <formula>"Leve"</formula>
    </cfRule>
  </conditionalFormatting>
  <conditionalFormatting sqref="AE45:AE50">
    <cfRule type="cellIs" dxfId="314" priority="328" operator="equal">
      <formula>"Extremo"</formula>
    </cfRule>
    <cfRule type="cellIs" dxfId="313" priority="329" operator="equal">
      <formula>"Alto"</formula>
    </cfRule>
    <cfRule type="cellIs" dxfId="312" priority="330" operator="equal">
      <formula>"Moderado"</formula>
    </cfRule>
    <cfRule type="cellIs" dxfId="311" priority="331" operator="equal">
      <formula>"Bajo"</formula>
    </cfRule>
  </conditionalFormatting>
  <conditionalFormatting sqref="J51">
    <cfRule type="cellIs" dxfId="310" priority="323" operator="equal">
      <formula>"Muy Alta"</formula>
    </cfRule>
    <cfRule type="cellIs" dxfId="309" priority="324" operator="equal">
      <formula>"Alta"</formula>
    </cfRule>
    <cfRule type="cellIs" dxfId="308" priority="325" operator="equal">
      <formula>"Media"</formula>
    </cfRule>
    <cfRule type="cellIs" dxfId="307" priority="326" operator="equal">
      <formula>"Baja"</formula>
    </cfRule>
    <cfRule type="cellIs" dxfId="306" priority="327" operator="equal">
      <formula>"Muy Baja"</formula>
    </cfRule>
  </conditionalFormatting>
  <conditionalFormatting sqref="P51">
    <cfRule type="cellIs" dxfId="305" priority="314" operator="equal">
      <formula>"Extremo"</formula>
    </cfRule>
    <cfRule type="cellIs" dxfId="304" priority="315" operator="equal">
      <formula>"Alto"</formula>
    </cfRule>
    <cfRule type="cellIs" dxfId="303" priority="316" operator="equal">
      <formula>"Moderado"</formula>
    </cfRule>
    <cfRule type="cellIs" dxfId="302" priority="317" operator="equal">
      <formula>"Bajo"</formula>
    </cfRule>
  </conditionalFormatting>
  <conditionalFormatting sqref="AA51:AA56">
    <cfRule type="cellIs" dxfId="301" priority="309" operator="equal">
      <formula>"Muy Alta"</formula>
    </cfRule>
    <cfRule type="cellIs" dxfId="300" priority="310" operator="equal">
      <formula>"Alta"</formula>
    </cfRule>
    <cfRule type="cellIs" dxfId="299" priority="311" operator="equal">
      <formula>"Media"</formula>
    </cfRule>
    <cfRule type="cellIs" dxfId="298" priority="312" operator="equal">
      <formula>"Baja"</formula>
    </cfRule>
    <cfRule type="cellIs" dxfId="297" priority="313" operator="equal">
      <formula>"Muy Baja"</formula>
    </cfRule>
  </conditionalFormatting>
  <conditionalFormatting sqref="AC51:AC56">
    <cfRule type="cellIs" dxfId="296" priority="304" operator="equal">
      <formula>"Catastrófico"</formula>
    </cfRule>
    <cfRule type="cellIs" dxfId="295" priority="305" operator="equal">
      <formula>"Mayor"</formula>
    </cfRule>
    <cfRule type="cellIs" dxfId="294" priority="306" operator="equal">
      <formula>"Moderado"</formula>
    </cfRule>
    <cfRule type="cellIs" dxfId="293" priority="307" operator="equal">
      <formula>"Menor"</formula>
    </cfRule>
    <cfRule type="cellIs" dxfId="292" priority="308" operator="equal">
      <formula>"Leve"</formula>
    </cfRule>
  </conditionalFormatting>
  <conditionalFormatting sqref="AE51:AE56">
    <cfRule type="cellIs" dxfId="291" priority="300" operator="equal">
      <formula>"Extremo"</formula>
    </cfRule>
    <cfRule type="cellIs" dxfId="290" priority="301" operator="equal">
      <formula>"Alto"</formula>
    </cfRule>
    <cfRule type="cellIs" dxfId="289" priority="302" operator="equal">
      <formula>"Moderado"</formula>
    </cfRule>
    <cfRule type="cellIs" dxfId="288" priority="303" operator="equal">
      <formula>"Bajo"</formula>
    </cfRule>
  </conditionalFormatting>
  <conditionalFormatting sqref="P57">
    <cfRule type="cellIs" dxfId="287" priority="286" operator="equal">
      <formula>"Extremo"</formula>
    </cfRule>
    <cfRule type="cellIs" dxfId="286" priority="287" operator="equal">
      <formula>"Alto"</formula>
    </cfRule>
    <cfRule type="cellIs" dxfId="285" priority="288" operator="equal">
      <formula>"Moderado"</formula>
    </cfRule>
    <cfRule type="cellIs" dxfId="284" priority="289" operator="equal">
      <formula>"Bajo"</formula>
    </cfRule>
  </conditionalFormatting>
  <conditionalFormatting sqref="AA57:AA62">
    <cfRule type="cellIs" dxfId="283" priority="281" operator="equal">
      <formula>"Muy Alta"</formula>
    </cfRule>
    <cfRule type="cellIs" dxfId="282" priority="282" operator="equal">
      <formula>"Alta"</formula>
    </cfRule>
    <cfRule type="cellIs" dxfId="281" priority="283" operator="equal">
      <formula>"Media"</formula>
    </cfRule>
    <cfRule type="cellIs" dxfId="280" priority="284" operator="equal">
      <formula>"Baja"</formula>
    </cfRule>
    <cfRule type="cellIs" dxfId="279" priority="285" operator="equal">
      <formula>"Muy Baja"</formula>
    </cfRule>
  </conditionalFormatting>
  <conditionalFormatting sqref="AC57:AC62">
    <cfRule type="cellIs" dxfId="278" priority="276" operator="equal">
      <formula>"Catastrófico"</formula>
    </cfRule>
    <cfRule type="cellIs" dxfId="277" priority="277" operator="equal">
      <formula>"Mayor"</formula>
    </cfRule>
    <cfRule type="cellIs" dxfId="276" priority="278" operator="equal">
      <formula>"Moderado"</formula>
    </cfRule>
    <cfRule type="cellIs" dxfId="275" priority="279" operator="equal">
      <formula>"Menor"</formula>
    </cfRule>
    <cfRule type="cellIs" dxfId="274" priority="280" operator="equal">
      <formula>"Leve"</formula>
    </cfRule>
  </conditionalFormatting>
  <conditionalFormatting sqref="AE57:AE62">
    <cfRule type="cellIs" dxfId="273" priority="272" operator="equal">
      <formula>"Extremo"</formula>
    </cfRule>
    <cfRule type="cellIs" dxfId="272" priority="273" operator="equal">
      <formula>"Alto"</formula>
    </cfRule>
    <cfRule type="cellIs" dxfId="271" priority="274" operator="equal">
      <formula>"Moderado"</formula>
    </cfRule>
    <cfRule type="cellIs" dxfId="270" priority="275" operator="equal">
      <formula>"Bajo"</formula>
    </cfRule>
  </conditionalFormatting>
  <conditionalFormatting sqref="J63">
    <cfRule type="cellIs" dxfId="269" priority="267" operator="equal">
      <formula>"Muy Alta"</formula>
    </cfRule>
    <cfRule type="cellIs" dxfId="268" priority="268" operator="equal">
      <formula>"Alta"</formula>
    </cfRule>
    <cfRule type="cellIs" dxfId="267" priority="269" operator="equal">
      <formula>"Media"</formula>
    </cfRule>
    <cfRule type="cellIs" dxfId="266" priority="270" operator="equal">
      <formula>"Baja"</formula>
    </cfRule>
    <cfRule type="cellIs" dxfId="265" priority="271" operator="equal">
      <formula>"Muy Baja"</formula>
    </cfRule>
  </conditionalFormatting>
  <conditionalFormatting sqref="P63">
    <cfRule type="cellIs" dxfId="264" priority="258" operator="equal">
      <formula>"Extremo"</formula>
    </cfRule>
    <cfRule type="cellIs" dxfId="263" priority="259" operator="equal">
      <formula>"Alto"</formula>
    </cfRule>
    <cfRule type="cellIs" dxfId="262" priority="260" operator="equal">
      <formula>"Moderado"</formula>
    </cfRule>
    <cfRule type="cellIs" dxfId="261" priority="261" operator="equal">
      <formula>"Bajo"</formula>
    </cfRule>
  </conditionalFormatting>
  <conditionalFormatting sqref="AA63:AA68">
    <cfRule type="cellIs" dxfId="260" priority="253" operator="equal">
      <formula>"Muy Alta"</formula>
    </cfRule>
    <cfRule type="cellIs" dxfId="259" priority="254" operator="equal">
      <formula>"Alta"</formula>
    </cfRule>
    <cfRule type="cellIs" dxfId="258" priority="255" operator="equal">
      <formula>"Media"</formula>
    </cfRule>
    <cfRule type="cellIs" dxfId="257" priority="256" operator="equal">
      <formula>"Baja"</formula>
    </cfRule>
    <cfRule type="cellIs" dxfId="256" priority="257" operator="equal">
      <formula>"Muy Baja"</formula>
    </cfRule>
  </conditionalFormatting>
  <conditionalFormatting sqref="AC63:AC68">
    <cfRule type="cellIs" dxfId="255" priority="248" operator="equal">
      <formula>"Catastrófico"</formula>
    </cfRule>
    <cfRule type="cellIs" dxfId="254" priority="249" operator="equal">
      <formula>"Mayor"</formula>
    </cfRule>
    <cfRule type="cellIs" dxfId="253" priority="250" operator="equal">
      <formula>"Moderado"</formula>
    </cfRule>
    <cfRule type="cellIs" dxfId="252" priority="251" operator="equal">
      <formula>"Menor"</formula>
    </cfRule>
    <cfRule type="cellIs" dxfId="251" priority="252" operator="equal">
      <formula>"Leve"</formula>
    </cfRule>
  </conditionalFormatting>
  <conditionalFormatting sqref="AE63:AE68">
    <cfRule type="cellIs" dxfId="250" priority="244" operator="equal">
      <formula>"Extremo"</formula>
    </cfRule>
    <cfRule type="cellIs" dxfId="249" priority="245" operator="equal">
      <formula>"Alto"</formula>
    </cfRule>
    <cfRule type="cellIs" dxfId="248" priority="246" operator="equal">
      <formula>"Moderado"</formula>
    </cfRule>
    <cfRule type="cellIs" dxfId="247" priority="247" operator="equal">
      <formula>"Bajo"</formula>
    </cfRule>
  </conditionalFormatting>
  <conditionalFormatting sqref="M15:M68">
    <cfRule type="containsText" dxfId="246" priority="243" operator="containsText" text="❌">
      <formula>NOT(ISERROR(SEARCH("❌",M15)))</formula>
    </cfRule>
  </conditionalFormatting>
  <conditionalFormatting sqref="J69 J75">
    <cfRule type="cellIs" dxfId="245" priority="238" operator="equal">
      <formula>"Muy Alta"</formula>
    </cfRule>
    <cfRule type="cellIs" dxfId="244" priority="239" operator="equal">
      <formula>"Alta"</formula>
    </cfRule>
    <cfRule type="cellIs" dxfId="243" priority="240" operator="equal">
      <formula>"Media"</formula>
    </cfRule>
    <cfRule type="cellIs" dxfId="242" priority="241" operator="equal">
      <formula>"Baja"</formula>
    </cfRule>
    <cfRule type="cellIs" dxfId="241" priority="242" operator="equal">
      <formula>"Muy Baja"</formula>
    </cfRule>
  </conditionalFormatting>
  <conditionalFormatting sqref="N69 N75 N81 N87 N93 N99 N105 N111 N117 N123">
    <cfRule type="cellIs" dxfId="240" priority="233" operator="equal">
      <formula>"Catastrófico"</formula>
    </cfRule>
    <cfRule type="cellIs" dxfId="239" priority="234" operator="equal">
      <formula>"Mayor"</formula>
    </cfRule>
    <cfRule type="cellIs" dxfId="238" priority="235" operator="equal">
      <formula>"Moderado"</formula>
    </cfRule>
    <cfRule type="cellIs" dxfId="237" priority="236" operator="equal">
      <formula>"Menor"</formula>
    </cfRule>
    <cfRule type="cellIs" dxfId="236" priority="237" operator="equal">
      <formula>"Leve"</formula>
    </cfRule>
  </conditionalFormatting>
  <conditionalFormatting sqref="P69">
    <cfRule type="cellIs" dxfId="235" priority="229" operator="equal">
      <formula>"Extremo"</formula>
    </cfRule>
    <cfRule type="cellIs" dxfId="234" priority="230" operator="equal">
      <formula>"Alto"</formula>
    </cfRule>
    <cfRule type="cellIs" dxfId="233" priority="231" operator="equal">
      <formula>"Moderado"</formula>
    </cfRule>
    <cfRule type="cellIs" dxfId="232" priority="232" operator="equal">
      <formula>"Bajo"</formula>
    </cfRule>
  </conditionalFormatting>
  <conditionalFormatting sqref="AA69:AA74">
    <cfRule type="cellIs" dxfId="231" priority="224" operator="equal">
      <formula>"Muy Alta"</formula>
    </cfRule>
    <cfRule type="cellIs" dxfId="230" priority="225" operator="equal">
      <formula>"Alta"</formula>
    </cfRule>
    <cfRule type="cellIs" dxfId="229" priority="226" operator="equal">
      <formula>"Media"</formula>
    </cfRule>
    <cfRule type="cellIs" dxfId="228" priority="227" operator="equal">
      <formula>"Baja"</formula>
    </cfRule>
    <cfRule type="cellIs" dxfId="227" priority="228" operator="equal">
      <formula>"Muy Baja"</formula>
    </cfRule>
  </conditionalFormatting>
  <conditionalFormatting sqref="AC69:AC74">
    <cfRule type="cellIs" dxfId="226" priority="219" operator="equal">
      <formula>"Catastrófico"</formula>
    </cfRule>
    <cfRule type="cellIs" dxfId="225" priority="220" operator="equal">
      <formula>"Mayor"</formula>
    </cfRule>
    <cfRule type="cellIs" dxfId="224" priority="221" operator="equal">
      <formula>"Moderado"</formula>
    </cfRule>
    <cfRule type="cellIs" dxfId="223" priority="222" operator="equal">
      <formula>"Menor"</formula>
    </cfRule>
    <cfRule type="cellIs" dxfId="222" priority="223" operator="equal">
      <formula>"Leve"</formula>
    </cfRule>
  </conditionalFormatting>
  <conditionalFormatting sqref="AE69:AE74">
    <cfRule type="cellIs" dxfId="221" priority="215" operator="equal">
      <formula>"Extremo"</formula>
    </cfRule>
    <cfRule type="cellIs" dxfId="220" priority="216" operator="equal">
      <formula>"Alto"</formula>
    </cfRule>
    <cfRule type="cellIs" dxfId="219" priority="217" operator="equal">
      <formula>"Moderado"</formula>
    </cfRule>
    <cfRule type="cellIs" dxfId="218" priority="218" operator="equal">
      <formula>"Bajo"</formula>
    </cfRule>
  </conditionalFormatting>
  <conditionalFormatting sqref="J117">
    <cfRule type="cellIs" dxfId="217" priority="54" operator="equal">
      <formula>"Muy Alta"</formula>
    </cfRule>
    <cfRule type="cellIs" dxfId="216" priority="55" operator="equal">
      <formula>"Alta"</formula>
    </cfRule>
    <cfRule type="cellIs" dxfId="215" priority="56" operator="equal">
      <formula>"Media"</formula>
    </cfRule>
    <cfRule type="cellIs" dxfId="214" priority="57" operator="equal">
      <formula>"Baja"</formula>
    </cfRule>
    <cfRule type="cellIs" dxfId="213" priority="58" operator="equal">
      <formula>"Muy Baja"</formula>
    </cfRule>
  </conditionalFormatting>
  <conditionalFormatting sqref="P75">
    <cfRule type="cellIs" dxfId="212" priority="211" operator="equal">
      <formula>"Extremo"</formula>
    </cfRule>
    <cfRule type="cellIs" dxfId="211" priority="212" operator="equal">
      <formula>"Alto"</formula>
    </cfRule>
    <cfRule type="cellIs" dxfId="210" priority="213" operator="equal">
      <formula>"Moderado"</formula>
    </cfRule>
    <cfRule type="cellIs" dxfId="209" priority="214" operator="equal">
      <formula>"Bajo"</formula>
    </cfRule>
  </conditionalFormatting>
  <conditionalFormatting sqref="AA75:AA80">
    <cfRule type="cellIs" dxfId="208" priority="206" operator="equal">
      <formula>"Muy Alta"</formula>
    </cfRule>
    <cfRule type="cellIs" dxfId="207" priority="207" operator="equal">
      <formula>"Alta"</formula>
    </cfRule>
    <cfRule type="cellIs" dxfId="206" priority="208" operator="equal">
      <formula>"Media"</formula>
    </cfRule>
    <cfRule type="cellIs" dxfId="205" priority="209" operator="equal">
      <formula>"Baja"</formula>
    </cfRule>
    <cfRule type="cellIs" dxfId="204" priority="210" operator="equal">
      <formula>"Muy Baja"</formula>
    </cfRule>
  </conditionalFormatting>
  <conditionalFormatting sqref="AC75:AC80">
    <cfRule type="cellIs" dxfId="203" priority="201" operator="equal">
      <formula>"Catastrófico"</formula>
    </cfRule>
    <cfRule type="cellIs" dxfId="202" priority="202" operator="equal">
      <formula>"Mayor"</formula>
    </cfRule>
    <cfRule type="cellIs" dxfId="201" priority="203" operator="equal">
      <formula>"Moderado"</formula>
    </cfRule>
    <cfRule type="cellIs" dxfId="200" priority="204" operator="equal">
      <formula>"Menor"</formula>
    </cfRule>
    <cfRule type="cellIs" dxfId="199" priority="205" operator="equal">
      <formula>"Leve"</formula>
    </cfRule>
  </conditionalFormatting>
  <conditionalFormatting sqref="AE75:AE80">
    <cfRule type="cellIs" dxfId="198" priority="197" operator="equal">
      <formula>"Extremo"</formula>
    </cfRule>
    <cfRule type="cellIs" dxfId="197" priority="198" operator="equal">
      <formula>"Alto"</formula>
    </cfRule>
    <cfRule type="cellIs" dxfId="196" priority="199" operator="equal">
      <formula>"Moderado"</formula>
    </cfRule>
    <cfRule type="cellIs" dxfId="195" priority="200" operator="equal">
      <formula>"Bajo"</formula>
    </cfRule>
  </conditionalFormatting>
  <conditionalFormatting sqref="J81">
    <cfRule type="cellIs" dxfId="194" priority="192" operator="equal">
      <formula>"Muy Alta"</formula>
    </cfRule>
    <cfRule type="cellIs" dxfId="193" priority="193" operator="equal">
      <formula>"Alta"</formula>
    </cfRule>
    <cfRule type="cellIs" dxfId="192" priority="194" operator="equal">
      <formula>"Media"</formula>
    </cfRule>
    <cfRule type="cellIs" dxfId="191" priority="195" operator="equal">
      <formula>"Baja"</formula>
    </cfRule>
    <cfRule type="cellIs" dxfId="190" priority="196" operator="equal">
      <formula>"Muy Baja"</formula>
    </cfRule>
  </conditionalFormatting>
  <conditionalFormatting sqref="P81">
    <cfRule type="cellIs" dxfId="189" priority="188" operator="equal">
      <formula>"Extremo"</formula>
    </cfRule>
    <cfRule type="cellIs" dxfId="188" priority="189" operator="equal">
      <formula>"Alto"</formula>
    </cfRule>
    <cfRule type="cellIs" dxfId="187" priority="190" operator="equal">
      <formula>"Moderado"</formula>
    </cfRule>
    <cfRule type="cellIs" dxfId="186" priority="191" operator="equal">
      <formula>"Bajo"</formula>
    </cfRule>
  </conditionalFormatting>
  <conditionalFormatting sqref="AA81:AA86">
    <cfRule type="cellIs" dxfId="185" priority="183" operator="equal">
      <formula>"Muy Alta"</formula>
    </cfRule>
    <cfRule type="cellIs" dxfId="184" priority="184" operator="equal">
      <formula>"Alta"</formula>
    </cfRule>
    <cfRule type="cellIs" dxfId="183" priority="185" operator="equal">
      <formula>"Media"</formula>
    </cfRule>
    <cfRule type="cellIs" dxfId="182" priority="186" operator="equal">
      <formula>"Baja"</formula>
    </cfRule>
    <cfRule type="cellIs" dxfId="181" priority="187" operator="equal">
      <formula>"Muy Baja"</formula>
    </cfRule>
  </conditionalFormatting>
  <conditionalFormatting sqref="AC81:AC86">
    <cfRule type="cellIs" dxfId="180" priority="178" operator="equal">
      <formula>"Catastrófico"</formula>
    </cfRule>
    <cfRule type="cellIs" dxfId="179" priority="179" operator="equal">
      <formula>"Mayor"</formula>
    </cfRule>
    <cfRule type="cellIs" dxfId="178" priority="180" operator="equal">
      <formula>"Moderado"</formula>
    </cfRule>
    <cfRule type="cellIs" dxfId="177" priority="181" operator="equal">
      <formula>"Menor"</formula>
    </cfRule>
    <cfRule type="cellIs" dxfId="176" priority="182" operator="equal">
      <formula>"Leve"</formula>
    </cfRule>
  </conditionalFormatting>
  <conditionalFormatting sqref="AE81:AE86">
    <cfRule type="cellIs" dxfId="175" priority="174" operator="equal">
      <formula>"Extremo"</formula>
    </cfRule>
    <cfRule type="cellIs" dxfId="174" priority="175" operator="equal">
      <formula>"Alto"</formula>
    </cfRule>
    <cfRule type="cellIs" dxfId="173" priority="176" operator="equal">
      <formula>"Moderado"</formula>
    </cfRule>
    <cfRule type="cellIs" dxfId="172" priority="177" operator="equal">
      <formula>"Bajo"</formula>
    </cfRule>
  </conditionalFormatting>
  <conditionalFormatting sqref="J87">
    <cfRule type="cellIs" dxfId="171" priority="169" operator="equal">
      <formula>"Muy Alta"</formula>
    </cfRule>
    <cfRule type="cellIs" dxfId="170" priority="170" operator="equal">
      <formula>"Alta"</formula>
    </cfRule>
    <cfRule type="cellIs" dxfId="169" priority="171" operator="equal">
      <formula>"Media"</formula>
    </cfRule>
    <cfRule type="cellIs" dxfId="168" priority="172" operator="equal">
      <formula>"Baja"</formula>
    </cfRule>
    <cfRule type="cellIs" dxfId="167" priority="173" operator="equal">
      <formula>"Muy Baja"</formula>
    </cfRule>
  </conditionalFormatting>
  <conditionalFormatting sqref="P87">
    <cfRule type="cellIs" dxfId="166" priority="165" operator="equal">
      <formula>"Extremo"</formula>
    </cfRule>
    <cfRule type="cellIs" dxfId="165" priority="166" operator="equal">
      <formula>"Alto"</formula>
    </cfRule>
    <cfRule type="cellIs" dxfId="164" priority="167" operator="equal">
      <formula>"Moderado"</formula>
    </cfRule>
    <cfRule type="cellIs" dxfId="163" priority="168" operator="equal">
      <formula>"Bajo"</formula>
    </cfRule>
  </conditionalFormatting>
  <conditionalFormatting sqref="AA87:AA92">
    <cfRule type="cellIs" dxfId="162" priority="160" operator="equal">
      <formula>"Muy Alta"</formula>
    </cfRule>
    <cfRule type="cellIs" dxfId="161" priority="161" operator="equal">
      <formula>"Alta"</formula>
    </cfRule>
    <cfRule type="cellIs" dxfId="160" priority="162" operator="equal">
      <formula>"Media"</formula>
    </cfRule>
    <cfRule type="cellIs" dxfId="159" priority="163" operator="equal">
      <formula>"Baja"</formula>
    </cfRule>
    <cfRule type="cellIs" dxfId="158" priority="164" operator="equal">
      <formula>"Muy Baja"</formula>
    </cfRule>
  </conditionalFormatting>
  <conditionalFormatting sqref="AC87:AC92">
    <cfRule type="cellIs" dxfId="157" priority="155" operator="equal">
      <formula>"Catastrófico"</formula>
    </cfRule>
    <cfRule type="cellIs" dxfId="156" priority="156" operator="equal">
      <formula>"Mayor"</formula>
    </cfRule>
    <cfRule type="cellIs" dxfId="155" priority="157" operator="equal">
      <formula>"Moderado"</formula>
    </cfRule>
    <cfRule type="cellIs" dxfId="154" priority="158" operator="equal">
      <formula>"Menor"</formula>
    </cfRule>
    <cfRule type="cellIs" dxfId="153" priority="159" operator="equal">
      <formula>"Leve"</formula>
    </cfRule>
  </conditionalFormatting>
  <conditionalFormatting sqref="AE87:AE92">
    <cfRule type="cellIs" dxfId="152" priority="151" operator="equal">
      <formula>"Extremo"</formula>
    </cfRule>
    <cfRule type="cellIs" dxfId="151" priority="152" operator="equal">
      <formula>"Alto"</formula>
    </cfRule>
    <cfRule type="cellIs" dxfId="150" priority="153" operator="equal">
      <formula>"Moderado"</formula>
    </cfRule>
    <cfRule type="cellIs" dxfId="149" priority="154" operator="equal">
      <formula>"Bajo"</formula>
    </cfRule>
  </conditionalFormatting>
  <conditionalFormatting sqref="J93">
    <cfRule type="cellIs" dxfId="148" priority="146" operator="equal">
      <formula>"Muy Alta"</formula>
    </cfRule>
    <cfRule type="cellIs" dxfId="147" priority="147" operator="equal">
      <formula>"Alta"</formula>
    </cfRule>
    <cfRule type="cellIs" dxfId="146" priority="148" operator="equal">
      <formula>"Media"</formula>
    </cfRule>
    <cfRule type="cellIs" dxfId="145" priority="149" operator="equal">
      <formula>"Baja"</formula>
    </cfRule>
    <cfRule type="cellIs" dxfId="144" priority="150" operator="equal">
      <formula>"Muy Baja"</formula>
    </cfRule>
  </conditionalFormatting>
  <conditionalFormatting sqref="P93">
    <cfRule type="cellIs" dxfId="143" priority="142" operator="equal">
      <formula>"Extremo"</formula>
    </cfRule>
    <cfRule type="cellIs" dxfId="142" priority="143" operator="equal">
      <formula>"Alto"</formula>
    </cfRule>
    <cfRule type="cellIs" dxfId="141" priority="144" operator="equal">
      <formula>"Moderado"</formula>
    </cfRule>
    <cfRule type="cellIs" dxfId="140" priority="145" operator="equal">
      <formula>"Bajo"</formula>
    </cfRule>
  </conditionalFormatting>
  <conditionalFormatting sqref="AA93:AA98">
    <cfRule type="cellIs" dxfId="139" priority="137" operator="equal">
      <formula>"Muy Alta"</formula>
    </cfRule>
    <cfRule type="cellIs" dxfId="138" priority="138" operator="equal">
      <formula>"Alta"</formula>
    </cfRule>
    <cfRule type="cellIs" dxfId="137" priority="139" operator="equal">
      <formula>"Media"</formula>
    </cfRule>
    <cfRule type="cellIs" dxfId="136" priority="140" operator="equal">
      <formula>"Baja"</formula>
    </cfRule>
    <cfRule type="cellIs" dxfId="135" priority="141" operator="equal">
      <formula>"Muy Baja"</formula>
    </cfRule>
  </conditionalFormatting>
  <conditionalFormatting sqref="AC93:AC98">
    <cfRule type="cellIs" dxfId="134" priority="132" operator="equal">
      <formula>"Catastrófico"</formula>
    </cfRule>
    <cfRule type="cellIs" dxfId="133" priority="133" operator="equal">
      <formula>"Mayor"</formula>
    </cfRule>
    <cfRule type="cellIs" dxfId="132" priority="134" operator="equal">
      <formula>"Moderado"</formula>
    </cfRule>
    <cfRule type="cellIs" dxfId="131" priority="135" operator="equal">
      <formula>"Menor"</formula>
    </cfRule>
    <cfRule type="cellIs" dxfId="130" priority="136" operator="equal">
      <formula>"Leve"</formula>
    </cfRule>
  </conditionalFormatting>
  <conditionalFormatting sqref="AE93:AE98">
    <cfRule type="cellIs" dxfId="129" priority="128" operator="equal">
      <formula>"Extremo"</formula>
    </cfRule>
    <cfRule type="cellIs" dxfId="128" priority="129" operator="equal">
      <formula>"Alto"</formula>
    </cfRule>
    <cfRule type="cellIs" dxfId="127" priority="130" operator="equal">
      <formula>"Moderado"</formula>
    </cfRule>
    <cfRule type="cellIs" dxfId="126" priority="131" operator="equal">
      <formula>"Bajo"</formula>
    </cfRule>
  </conditionalFormatting>
  <conditionalFormatting sqref="J99">
    <cfRule type="cellIs" dxfId="125" priority="123" operator="equal">
      <formula>"Muy Alta"</formula>
    </cfRule>
    <cfRule type="cellIs" dxfId="124" priority="124" operator="equal">
      <formula>"Alta"</formula>
    </cfRule>
    <cfRule type="cellIs" dxfId="123" priority="125" operator="equal">
      <formula>"Media"</formula>
    </cfRule>
    <cfRule type="cellIs" dxfId="122" priority="126" operator="equal">
      <formula>"Baja"</formula>
    </cfRule>
    <cfRule type="cellIs" dxfId="121" priority="127" operator="equal">
      <formula>"Muy Baja"</formula>
    </cfRule>
  </conditionalFormatting>
  <conditionalFormatting sqref="P99">
    <cfRule type="cellIs" dxfId="120" priority="119" operator="equal">
      <formula>"Extremo"</formula>
    </cfRule>
    <cfRule type="cellIs" dxfId="119" priority="120" operator="equal">
      <formula>"Alto"</formula>
    </cfRule>
    <cfRule type="cellIs" dxfId="118" priority="121" operator="equal">
      <formula>"Moderado"</formula>
    </cfRule>
    <cfRule type="cellIs" dxfId="117" priority="122" operator="equal">
      <formula>"Bajo"</formula>
    </cfRule>
  </conditionalFormatting>
  <conditionalFormatting sqref="AA99:AA104">
    <cfRule type="cellIs" dxfId="116" priority="114" operator="equal">
      <formula>"Muy Alta"</formula>
    </cfRule>
    <cfRule type="cellIs" dxfId="115" priority="115" operator="equal">
      <formula>"Alta"</formula>
    </cfRule>
    <cfRule type="cellIs" dxfId="114" priority="116" operator="equal">
      <formula>"Media"</formula>
    </cfRule>
    <cfRule type="cellIs" dxfId="113" priority="117" operator="equal">
      <formula>"Baja"</formula>
    </cfRule>
    <cfRule type="cellIs" dxfId="112" priority="118" operator="equal">
      <formula>"Muy Baja"</formula>
    </cfRule>
  </conditionalFormatting>
  <conditionalFormatting sqref="AC99:AC104">
    <cfRule type="cellIs" dxfId="111" priority="109" operator="equal">
      <formula>"Catastrófico"</formula>
    </cfRule>
    <cfRule type="cellIs" dxfId="110" priority="110" operator="equal">
      <formula>"Mayor"</formula>
    </cfRule>
    <cfRule type="cellIs" dxfId="109" priority="111" operator="equal">
      <formula>"Moderado"</formula>
    </cfRule>
    <cfRule type="cellIs" dxfId="108" priority="112" operator="equal">
      <formula>"Menor"</formula>
    </cfRule>
    <cfRule type="cellIs" dxfId="107" priority="113" operator="equal">
      <formula>"Leve"</formula>
    </cfRule>
  </conditionalFormatting>
  <conditionalFormatting sqref="AE99:AE104">
    <cfRule type="cellIs" dxfId="106" priority="105" operator="equal">
      <formula>"Extremo"</formula>
    </cfRule>
    <cfRule type="cellIs" dxfId="105" priority="106" operator="equal">
      <formula>"Alto"</formula>
    </cfRule>
    <cfRule type="cellIs" dxfId="104" priority="107" operator="equal">
      <formula>"Moderado"</formula>
    </cfRule>
    <cfRule type="cellIs" dxfId="103" priority="108" operator="equal">
      <formula>"Bajo"</formula>
    </cfRule>
  </conditionalFormatting>
  <conditionalFormatting sqref="J105">
    <cfRule type="cellIs" dxfId="102" priority="100" operator="equal">
      <formula>"Muy Alta"</formula>
    </cfRule>
    <cfRule type="cellIs" dxfId="101" priority="101" operator="equal">
      <formula>"Alta"</formula>
    </cfRule>
    <cfRule type="cellIs" dxfId="100" priority="102" operator="equal">
      <formula>"Media"</formula>
    </cfRule>
    <cfRule type="cellIs" dxfId="99" priority="103" operator="equal">
      <formula>"Baja"</formula>
    </cfRule>
    <cfRule type="cellIs" dxfId="98" priority="104" operator="equal">
      <formula>"Muy Baja"</formula>
    </cfRule>
  </conditionalFormatting>
  <conditionalFormatting sqref="P105">
    <cfRule type="cellIs" dxfId="97" priority="96" operator="equal">
      <formula>"Extremo"</formula>
    </cfRule>
    <cfRule type="cellIs" dxfId="96" priority="97" operator="equal">
      <formula>"Alto"</formula>
    </cfRule>
    <cfRule type="cellIs" dxfId="95" priority="98" operator="equal">
      <formula>"Moderado"</formula>
    </cfRule>
    <cfRule type="cellIs" dxfId="94" priority="99" operator="equal">
      <formula>"Bajo"</formula>
    </cfRule>
  </conditionalFormatting>
  <conditionalFormatting sqref="AA105:AA110">
    <cfRule type="cellIs" dxfId="93" priority="91" operator="equal">
      <formula>"Muy Alta"</formula>
    </cfRule>
    <cfRule type="cellIs" dxfId="92" priority="92" operator="equal">
      <formula>"Alta"</formula>
    </cfRule>
    <cfRule type="cellIs" dxfId="91" priority="93" operator="equal">
      <formula>"Media"</formula>
    </cfRule>
    <cfRule type="cellIs" dxfId="90" priority="94" operator="equal">
      <formula>"Baja"</formula>
    </cfRule>
    <cfRule type="cellIs" dxfId="89" priority="95" operator="equal">
      <formula>"Muy Baja"</formula>
    </cfRule>
  </conditionalFormatting>
  <conditionalFormatting sqref="AC105:AC110">
    <cfRule type="cellIs" dxfId="88" priority="86" operator="equal">
      <formula>"Catastrófico"</formula>
    </cfRule>
    <cfRule type="cellIs" dxfId="87" priority="87" operator="equal">
      <formula>"Mayor"</formula>
    </cfRule>
    <cfRule type="cellIs" dxfId="86" priority="88" operator="equal">
      <formula>"Moderado"</formula>
    </cfRule>
    <cfRule type="cellIs" dxfId="85" priority="89" operator="equal">
      <formula>"Menor"</formula>
    </cfRule>
    <cfRule type="cellIs" dxfId="84" priority="90" operator="equal">
      <formula>"Leve"</formula>
    </cfRule>
  </conditionalFormatting>
  <conditionalFormatting sqref="AE105:AE110">
    <cfRule type="cellIs" dxfId="83" priority="82" operator="equal">
      <formula>"Extremo"</formula>
    </cfRule>
    <cfRule type="cellIs" dxfId="82" priority="83" operator="equal">
      <formula>"Alto"</formula>
    </cfRule>
    <cfRule type="cellIs" dxfId="81" priority="84" operator="equal">
      <formula>"Moderado"</formula>
    </cfRule>
    <cfRule type="cellIs" dxfId="80" priority="85" operator="equal">
      <formula>"Bajo"</formula>
    </cfRule>
  </conditionalFormatting>
  <conditionalFormatting sqref="J111">
    <cfRule type="cellIs" dxfId="79" priority="77" operator="equal">
      <formula>"Muy Alta"</formula>
    </cfRule>
    <cfRule type="cellIs" dxfId="78" priority="78" operator="equal">
      <formula>"Alta"</formula>
    </cfRule>
    <cfRule type="cellIs" dxfId="77" priority="79" operator="equal">
      <formula>"Media"</formula>
    </cfRule>
    <cfRule type="cellIs" dxfId="76" priority="80" operator="equal">
      <formula>"Baja"</formula>
    </cfRule>
    <cfRule type="cellIs" dxfId="75" priority="81" operator="equal">
      <formula>"Muy Baja"</formula>
    </cfRule>
  </conditionalFormatting>
  <conditionalFormatting sqref="P111">
    <cfRule type="cellIs" dxfId="74" priority="73" operator="equal">
      <formula>"Extremo"</formula>
    </cfRule>
    <cfRule type="cellIs" dxfId="73" priority="74" operator="equal">
      <formula>"Alto"</formula>
    </cfRule>
    <cfRule type="cellIs" dxfId="72" priority="75" operator="equal">
      <formula>"Moderado"</formula>
    </cfRule>
    <cfRule type="cellIs" dxfId="71" priority="76" operator="equal">
      <formula>"Bajo"</formula>
    </cfRule>
  </conditionalFormatting>
  <conditionalFormatting sqref="AA111:AA116">
    <cfRule type="cellIs" dxfId="70" priority="68" operator="equal">
      <formula>"Muy Alta"</formula>
    </cfRule>
    <cfRule type="cellIs" dxfId="69" priority="69" operator="equal">
      <formula>"Alta"</formula>
    </cfRule>
    <cfRule type="cellIs" dxfId="68" priority="70" operator="equal">
      <formula>"Media"</formula>
    </cfRule>
    <cfRule type="cellIs" dxfId="67" priority="71" operator="equal">
      <formula>"Baja"</formula>
    </cfRule>
    <cfRule type="cellIs" dxfId="66" priority="72" operator="equal">
      <formula>"Muy Baja"</formula>
    </cfRule>
  </conditionalFormatting>
  <conditionalFormatting sqref="AC111:AC116">
    <cfRule type="cellIs" dxfId="65" priority="63" operator="equal">
      <formula>"Catastrófico"</formula>
    </cfRule>
    <cfRule type="cellIs" dxfId="64" priority="64" operator="equal">
      <formula>"Mayor"</formula>
    </cfRule>
    <cfRule type="cellIs" dxfId="63" priority="65" operator="equal">
      <formula>"Moderado"</formula>
    </cfRule>
    <cfRule type="cellIs" dxfId="62" priority="66" operator="equal">
      <formula>"Menor"</formula>
    </cfRule>
    <cfRule type="cellIs" dxfId="61" priority="67" operator="equal">
      <formula>"Leve"</formula>
    </cfRule>
  </conditionalFormatting>
  <conditionalFormatting sqref="AE111:AE116">
    <cfRule type="cellIs" dxfId="60" priority="59" operator="equal">
      <formula>"Extremo"</formula>
    </cfRule>
    <cfRule type="cellIs" dxfId="59" priority="60" operator="equal">
      <formula>"Alto"</formula>
    </cfRule>
    <cfRule type="cellIs" dxfId="58" priority="61" operator="equal">
      <formula>"Moderado"</formula>
    </cfRule>
    <cfRule type="cellIs" dxfId="57" priority="62" operator="equal">
      <formula>"Bajo"</formula>
    </cfRule>
  </conditionalFormatting>
  <conditionalFormatting sqref="P117">
    <cfRule type="cellIs" dxfId="56" priority="50" operator="equal">
      <formula>"Extremo"</formula>
    </cfRule>
    <cfRule type="cellIs" dxfId="55" priority="51" operator="equal">
      <formula>"Alto"</formula>
    </cfRule>
    <cfRule type="cellIs" dxfId="54" priority="52" operator="equal">
      <formula>"Moderado"</formula>
    </cfRule>
    <cfRule type="cellIs" dxfId="53" priority="53" operator="equal">
      <formula>"Bajo"</formula>
    </cfRule>
  </conditionalFormatting>
  <conditionalFormatting sqref="AA117:AA122">
    <cfRule type="cellIs" dxfId="52" priority="45" operator="equal">
      <formula>"Muy Alta"</formula>
    </cfRule>
    <cfRule type="cellIs" dxfId="51" priority="46" operator="equal">
      <formula>"Alta"</formula>
    </cfRule>
    <cfRule type="cellIs" dxfId="50" priority="47" operator="equal">
      <formula>"Media"</formula>
    </cfRule>
    <cfRule type="cellIs" dxfId="49" priority="48" operator="equal">
      <formula>"Baja"</formula>
    </cfRule>
    <cfRule type="cellIs" dxfId="48" priority="49" operator="equal">
      <formula>"Muy Baja"</formula>
    </cfRule>
  </conditionalFormatting>
  <conditionalFormatting sqref="AC117:AC122">
    <cfRule type="cellIs" dxfId="47" priority="40" operator="equal">
      <formula>"Catastrófico"</formula>
    </cfRule>
    <cfRule type="cellIs" dxfId="46" priority="41" operator="equal">
      <formula>"Mayor"</formula>
    </cfRule>
    <cfRule type="cellIs" dxfId="45" priority="42" operator="equal">
      <formula>"Moderado"</formula>
    </cfRule>
    <cfRule type="cellIs" dxfId="44" priority="43" operator="equal">
      <formula>"Menor"</formula>
    </cfRule>
    <cfRule type="cellIs" dxfId="43" priority="44" operator="equal">
      <formula>"Leve"</formula>
    </cfRule>
  </conditionalFormatting>
  <conditionalFormatting sqref="AE117:AE122">
    <cfRule type="cellIs" dxfId="42" priority="36" operator="equal">
      <formula>"Extremo"</formula>
    </cfRule>
    <cfRule type="cellIs" dxfId="41" priority="37" operator="equal">
      <formula>"Alto"</formula>
    </cfRule>
    <cfRule type="cellIs" dxfId="40" priority="38" operator="equal">
      <formula>"Moderado"</formula>
    </cfRule>
    <cfRule type="cellIs" dxfId="39" priority="39" operator="equal">
      <formula>"Bajo"</formula>
    </cfRule>
  </conditionalFormatting>
  <conditionalFormatting sqref="J123">
    <cfRule type="cellIs" dxfId="38" priority="31" operator="equal">
      <formula>"Muy Alta"</formula>
    </cfRule>
    <cfRule type="cellIs" dxfId="37" priority="32" operator="equal">
      <formula>"Alta"</formula>
    </cfRule>
    <cfRule type="cellIs" dxfId="36" priority="33" operator="equal">
      <formula>"Media"</formula>
    </cfRule>
    <cfRule type="cellIs" dxfId="35" priority="34" operator="equal">
      <formula>"Baja"</formula>
    </cfRule>
    <cfRule type="cellIs" dxfId="34" priority="35" operator="equal">
      <formula>"Muy Baja"</formula>
    </cfRule>
  </conditionalFormatting>
  <conditionalFormatting sqref="P123">
    <cfRule type="cellIs" dxfId="33" priority="27" operator="equal">
      <formula>"Extremo"</formula>
    </cfRule>
    <cfRule type="cellIs" dxfId="32" priority="28" operator="equal">
      <formula>"Alto"</formula>
    </cfRule>
    <cfRule type="cellIs" dxfId="31" priority="29" operator="equal">
      <formula>"Moderado"</formula>
    </cfRule>
    <cfRule type="cellIs" dxfId="30" priority="30" operator="equal">
      <formula>"Bajo"</formula>
    </cfRule>
  </conditionalFormatting>
  <conditionalFormatting sqref="AA123:AA128">
    <cfRule type="cellIs" dxfId="29" priority="22" operator="equal">
      <formula>"Muy Alta"</formula>
    </cfRule>
    <cfRule type="cellIs" dxfId="28" priority="23" operator="equal">
      <formula>"Alta"</formula>
    </cfRule>
    <cfRule type="cellIs" dxfId="27" priority="24" operator="equal">
      <formula>"Media"</formula>
    </cfRule>
    <cfRule type="cellIs" dxfId="26" priority="25" operator="equal">
      <formula>"Baja"</formula>
    </cfRule>
    <cfRule type="cellIs" dxfId="25" priority="26" operator="equal">
      <formula>"Muy Baja"</formula>
    </cfRule>
  </conditionalFormatting>
  <conditionalFormatting sqref="AC123:AC128">
    <cfRule type="cellIs" dxfId="24" priority="17" operator="equal">
      <formula>"Catastrófico"</formula>
    </cfRule>
    <cfRule type="cellIs" dxfId="23" priority="18" operator="equal">
      <formula>"Mayor"</formula>
    </cfRule>
    <cfRule type="cellIs" dxfId="22" priority="19" operator="equal">
      <formula>"Moderado"</formula>
    </cfRule>
    <cfRule type="cellIs" dxfId="21" priority="20" operator="equal">
      <formula>"Menor"</formula>
    </cfRule>
    <cfRule type="cellIs" dxfId="20" priority="21" operator="equal">
      <formula>"Leve"</formula>
    </cfRule>
  </conditionalFormatting>
  <conditionalFormatting sqref="AE123:AE128">
    <cfRule type="cellIs" dxfId="19" priority="13" operator="equal">
      <formula>"Extremo"</formula>
    </cfRule>
    <cfRule type="cellIs" dxfId="18" priority="14" operator="equal">
      <formula>"Alto"</formula>
    </cfRule>
    <cfRule type="cellIs" dxfId="17" priority="15" operator="equal">
      <formula>"Moderado"</formula>
    </cfRule>
    <cfRule type="cellIs" dxfId="16" priority="16" operator="equal">
      <formula>"Bajo"</formula>
    </cfRule>
  </conditionalFormatting>
  <conditionalFormatting sqref="M69:M128">
    <cfRule type="containsText" dxfId="15" priority="12" operator="containsText" text="❌">
      <formula>NOT(ISERROR(SEARCH("❌",M69)))</formula>
    </cfRule>
  </conditionalFormatting>
  <conditionalFormatting sqref="J9">
    <cfRule type="cellIs" dxfId="14" priority="7" operator="equal">
      <formula>"Muy Alta"</formula>
    </cfRule>
    <cfRule type="cellIs" dxfId="13" priority="8" operator="equal">
      <formula>"Alta"</formula>
    </cfRule>
    <cfRule type="cellIs" dxfId="12" priority="9" operator="equal">
      <formula>"Media"</formula>
    </cfRule>
    <cfRule type="cellIs" dxfId="11" priority="10" operator="equal">
      <formula>"Baja"</formula>
    </cfRule>
    <cfRule type="cellIs" dxfId="10" priority="11" operator="equal">
      <formula>"Muy Baja"</formula>
    </cfRule>
  </conditionalFormatting>
  <conditionalFormatting sqref="N9">
    <cfRule type="cellIs" dxfId="9" priority="2" operator="equal">
      <formula>"Catastrófico"</formula>
    </cfRule>
    <cfRule type="cellIs" dxfId="8" priority="3" operator="equal">
      <formula>"Mayor"</formula>
    </cfRule>
    <cfRule type="cellIs" dxfId="7" priority="4" operator="equal">
      <formula>"Moderado"</formula>
    </cfRule>
    <cfRule type="cellIs" dxfId="6" priority="5" operator="equal">
      <formula>"Menor"</formula>
    </cfRule>
    <cfRule type="cellIs" dxfId="5" priority="6" operator="equal">
      <formula>"Leve"</formula>
    </cfRule>
  </conditionalFormatting>
  <conditionalFormatting sqref="M9:M14">
    <cfRule type="containsText" dxfId="4" priority="1" operator="containsText" text="❌">
      <formula>NOT(ISERROR(SEARCH("❌",M9)))</formula>
    </cfRule>
  </conditionalFormatting>
  <dataValidations count="8">
    <dataValidation type="list" allowBlank="1" showInputMessage="1" showErrorMessage="1" sqref="L130">
      <formula1>"Insignificante, Menor, Moderado, Mayor, Crítico"</formula1>
    </dataValidation>
    <dataValidation type="list" allowBlank="1" showInputMessage="1" showErrorMessage="1" sqref="S130">
      <formula1>"Preventivo, Detectivo, Correctivo"</formula1>
    </dataValidation>
    <dataValidation type="list" allowBlank="1" showInputMessage="1" showErrorMessage="1" sqref="T130">
      <formula1>"Autómatico, Manual"</formula1>
    </dataValidation>
    <dataValidation type="list" allowBlank="1" showInputMessage="1" showErrorMessage="1" sqref="V130">
      <formula1>"Documentado, Sin documentar"</formula1>
    </dataValidation>
    <dataValidation type="list" allowBlank="1" showInputMessage="1" showErrorMessage="1" sqref="W130">
      <formula1>"Continua, Aleatoria "</formula1>
    </dataValidation>
    <dataValidation type="list" allowBlank="1" showInputMessage="1" showErrorMessage="1" sqref="X130">
      <formula1>"Con resgistro, Sin registro"</formula1>
    </dataValidation>
    <dataValidation type="list" allowBlank="1" showInputMessage="1" showErrorMessage="1" sqref="G9:G1048576 G6">
      <formula1>"Estratégicos, Imagen, Operativos, Financieros,Cumplimiento,Tecnológicos, Fraude, Corrupción, Imparcialidad, Confidencialidad, Seguridad de la información "</formula1>
    </dataValidation>
    <dataValidation type="list" allowBlank="1" showInputMessage="1" showErrorMessage="1" sqref="H6 H33:H1048576 H9:H27">
      <formula1>"Positivo (Oportunidad) , Negativo (Amenaza)"</formula1>
    </dataValidation>
  </dataValidations>
  <pageMargins left="0.7" right="0.7" top="0.75" bottom="0.75" header="0.3" footer="0.3"/>
  <pageSetup orientation="portrait" r:id="rId1"/>
  <ignoredErrors>
    <ignoredError sqref="AD11" 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T9:T128</xm:sqref>
        </x14:dataValidation>
        <x14:dataValidation type="list" allowBlank="1" showInputMessage="1" showErrorMessage="1">
          <x14:formula1>
            <xm:f>'Tabla Valoración controles'!$D$7:$D$8</xm:f>
          </x14:formula1>
          <xm:sqref>U9:U128</xm:sqref>
        </x14:dataValidation>
        <x14:dataValidation type="list" allowBlank="1" showInputMessage="1" showErrorMessage="1">
          <x14:formula1>
            <xm:f>'Tabla Valoración controles'!$D$9:$D$10</xm:f>
          </x14:formula1>
          <xm:sqref>W9:W128</xm:sqref>
        </x14:dataValidation>
        <x14:dataValidation type="list" allowBlank="1" showInputMessage="1" showErrorMessage="1">
          <x14:formula1>
            <xm:f>'Tabla Valoración controles'!$D$11:$D$12</xm:f>
          </x14:formula1>
          <xm:sqref>X9:X128</xm:sqref>
        </x14:dataValidation>
        <x14:dataValidation type="list" allowBlank="1" showInputMessage="1" showErrorMessage="1">
          <x14:formula1>
            <xm:f>'Opciones Tratamiento'!$B$9:$B$10</xm:f>
          </x14:formula1>
          <xm:sqref>AL9:AL10 AL12:AL13 AL15:AL16 AL18:AL19 AL21:AL22 AL24:AL25 AL27:AL28 AL30:AL31 AL33:AL34 AL36:AL37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AL126:AL127</xm:sqref>
        </x14:dataValidation>
        <x14:dataValidation type="list" allowBlank="1" showInputMessage="1" showErrorMessage="1">
          <x14:formula1>
            <xm:f>'Tabla Valoración controles'!$D$13:$D$14</xm:f>
          </x14:formula1>
          <xm:sqref>Y9:Y128</xm:sqref>
        </x14:dataValidation>
        <x14:dataValidation type="list" allowBlank="1" showInputMessage="1" showErrorMessage="1">
          <x14:formula1>
            <xm:f>'Opciones Tratamiento'!$B$2:$B$5</xm:f>
          </x14:formula1>
          <xm:sqref>AF9:AF128</xm:sqref>
        </x14:dataValidation>
        <x14:dataValidation type="list" allowBlank="1" showInputMessage="1" showErrorMessage="1">
          <x14:formula1>
            <xm:f>'Tabla Impacto'!$F$210:$F$221</xm:f>
          </x14:formula1>
          <xm:sqref>L9:L128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AG9:AG128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26" t="s">
        <v>154</v>
      </c>
      <c r="C2" s="326"/>
      <c r="D2" s="326"/>
      <c r="E2" s="326"/>
      <c r="F2" s="326"/>
      <c r="G2" s="326"/>
      <c r="H2" s="326"/>
      <c r="I2" s="326"/>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26"/>
      <c r="C3" s="326"/>
      <c r="D3" s="326"/>
      <c r="E3" s="326"/>
      <c r="F3" s="326"/>
      <c r="G3" s="326"/>
      <c r="H3" s="326"/>
      <c r="I3" s="326"/>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26"/>
      <c r="C4" s="326"/>
      <c r="D4" s="326"/>
      <c r="E4" s="326"/>
      <c r="F4" s="326"/>
      <c r="G4" s="326"/>
      <c r="H4" s="326"/>
      <c r="I4" s="326"/>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39" t="s">
        <v>3</v>
      </c>
      <c r="C6" s="239"/>
      <c r="D6" s="240"/>
      <c r="E6" s="277" t="s">
        <v>112</v>
      </c>
      <c r="F6" s="278"/>
      <c r="G6" s="278"/>
      <c r="H6" s="278"/>
      <c r="I6" s="279"/>
      <c r="J6" s="289" t="str">
        <f>IF(AND('Mapa final'!$J$9="Muy Alta",'Mapa final'!$N$9="Leve"),CONCATENATE("R",'Mapa final'!$A$9),"")</f>
        <v/>
      </c>
      <c r="K6" s="290"/>
      <c r="L6" s="290" t="str">
        <f>IF(AND('Mapa final'!$J$15="Muy Alta",'Mapa final'!$N$15="Leve"),CONCATENATE("R",'Mapa final'!$A$15),"")</f>
        <v/>
      </c>
      <c r="M6" s="290"/>
      <c r="N6" s="290" t="str">
        <f>IF(AND('Mapa final'!$J$21="Muy Alta",'Mapa final'!$N$21="Leve"),CONCATENATE("R",'Mapa final'!$A$21),"")</f>
        <v/>
      </c>
      <c r="O6" s="292"/>
      <c r="P6" s="289" t="str">
        <f>IF(AND('Mapa final'!$J$9="Muy Alta",'Mapa final'!$N$9="Menor"),CONCATENATE("R",'Mapa final'!$A$9),"")</f>
        <v/>
      </c>
      <c r="Q6" s="290"/>
      <c r="R6" s="290" t="str">
        <f>IF(AND('Mapa final'!$J$15="Muy Alta",'Mapa final'!$N$15="Menor"),CONCATENATE("R",'Mapa final'!$A$15),"")</f>
        <v/>
      </c>
      <c r="S6" s="290"/>
      <c r="T6" s="290" t="str">
        <f>IF(AND('Mapa final'!$J$21="Muy Alta",'Mapa final'!$N$21="Menor"),CONCATENATE("R",'Mapa final'!$A$21),"")</f>
        <v/>
      </c>
      <c r="U6" s="292"/>
      <c r="V6" s="289" t="str">
        <f>IF(AND('Mapa final'!$J$9="Muy Alta",'Mapa final'!$N$9="Moderado"),CONCATENATE("R",'Mapa final'!$A$9),"")</f>
        <v/>
      </c>
      <c r="W6" s="290"/>
      <c r="X6" s="290" t="str">
        <f>IF(AND('Mapa final'!$J$15="Muy Alta",'Mapa final'!$N$15="Moderado"),CONCATENATE("R",'Mapa final'!$A$15),"")</f>
        <v/>
      </c>
      <c r="Y6" s="290"/>
      <c r="Z6" s="290" t="str">
        <f>IF(AND('Mapa final'!$J$21="Muy Alta",'Mapa final'!$N$21="Moderado"),CONCATENATE("R",'Mapa final'!$A$21),"")</f>
        <v/>
      </c>
      <c r="AA6" s="292"/>
      <c r="AB6" s="289" t="str">
        <f>IF(AND('Mapa final'!$J$9="Muy Alta",'Mapa final'!$N$9="Mayor"),CONCATENATE("R",'Mapa final'!$A$9),"")</f>
        <v/>
      </c>
      <c r="AC6" s="290"/>
      <c r="AD6" s="290" t="str">
        <f>IF(AND('Mapa final'!$J$15="Muy Alta",'Mapa final'!$N$15="Mayor"),CONCATENATE("R",'Mapa final'!$A$15),"")</f>
        <v/>
      </c>
      <c r="AE6" s="290"/>
      <c r="AF6" s="290" t="str">
        <f>IF(AND('Mapa final'!$J$21="Muy Alta",'Mapa final'!$N$21="Mayor"),CONCATENATE("R",'Mapa final'!$A$21),"")</f>
        <v/>
      </c>
      <c r="AG6" s="292"/>
      <c r="AH6" s="305" t="str">
        <f>IF(AND('Mapa final'!$J$9="Muy Alta",'Mapa final'!$N$9="Catastrófico"),CONCATENATE("R",'Mapa final'!$A$9),"")</f>
        <v/>
      </c>
      <c r="AI6" s="306"/>
      <c r="AJ6" s="306" t="str">
        <f>IF(AND('Mapa final'!$J$15="Muy Alta",'Mapa final'!$N$15="Catastrófico"),CONCATENATE("R",'Mapa final'!$A$15),"")</f>
        <v/>
      </c>
      <c r="AK6" s="306"/>
      <c r="AL6" s="306" t="str">
        <f>IF(AND('Mapa final'!$J$21="Muy Alta",'Mapa final'!$N$21="Catastrófico"),CONCATENATE("R",'Mapa final'!$A$21),"")</f>
        <v/>
      </c>
      <c r="AM6" s="307"/>
      <c r="AO6" s="241" t="s">
        <v>75</v>
      </c>
      <c r="AP6" s="242"/>
      <c r="AQ6" s="242"/>
      <c r="AR6" s="242"/>
      <c r="AS6" s="242"/>
      <c r="AT6" s="24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39"/>
      <c r="C7" s="239"/>
      <c r="D7" s="240"/>
      <c r="E7" s="280"/>
      <c r="F7" s="281"/>
      <c r="G7" s="281"/>
      <c r="H7" s="281"/>
      <c r="I7" s="282"/>
      <c r="J7" s="291"/>
      <c r="K7" s="288"/>
      <c r="L7" s="288"/>
      <c r="M7" s="288"/>
      <c r="N7" s="288"/>
      <c r="O7" s="287"/>
      <c r="P7" s="291"/>
      <c r="Q7" s="288"/>
      <c r="R7" s="288"/>
      <c r="S7" s="288"/>
      <c r="T7" s="288"/>
      <c r="U7" s="287"/>
      <c r="V7" s="291"/>
      <c r="W7" s="288"/>
      <c r="X7" s="288"/>
      <c r="Y7" s="288"/>
      <c r="Z7" s="288"/>
      <c r="AA7" s="287"/>
      <c r="AB7" s="291"/>
      <c r="AC7" s="288"/>
      <c r="AD7" s="288"/>
      <c r="AE7" s="288"/>
      <c r="AF7" s="288"/>
      <c r="AG7" s="287"/>
      <c r="AH7" s="299"/>
      <c r="AI7" s="300"/>
      <c r="AJ7" s="300"/>
      <c r="AK7" s="300"/>
      <c r="AL7" s="300"/>
      <c r="AM7" s="301"/>
      <c r="AN7" s="70"/>
      <c r="AO7" s="244"/>
      <c r="AP7" s="245"/>
      <c r="AQ7" s="245"/>
      <c r="AR7" s="245"/>
      <c r="AS7" s="245"/>
      <c r="AT7" s="24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39"/>
      <c r="C8" s="239"/>
      <c r="D8" s="240"/>
      <c r="E8" s="280"/>
      <c r="F8" s="281"/>
      <c r="G8" s="281"/>
      <c r="H8" s="281"/>
      <c r="I8" s="282"/>
      <c r="J8" s="291" t="str">
        <f>IF(AND('Mapa final'!$J$27="Muy Alta",'Mapa final'!$N$27="Leve"),CONCATENATE("R",'Mapa final'!$A$27),"")</f>
        <v/>
      </c>
      <c r="K8" s="288"/>
      <c r="L8" s="286" t="str">
        <f>IF(AND('Mapa final'!$J$33="Muy Alta",'Mapa final'!$N$33="Leve"),CONCATENATE("R",'Mapa final'!$A$33),"")</f>
        <v/>
      </c>
      <c r="M8" s="286"/>
      <c r="N8" s="286" t="str">
        <f>IF(AND('Mapa final'!$J$39="Muy Alta",'Mapa final'!$N$39="Leve"),CONCATENATE("R",'Mapa final'!$A$39),"")</f>
        <v/>
      </c>
      <c r="O8" s="287"/>
      <c r="P8" s="291" t="str">
        <f>IF(AND('Mapa final'!$J$27="Muy Alta",'Mapa final'!$N$27="Menor"),CONCATENATE("R",'Mapa final'!$A$27),"")</f>
        <v/>
      </c>
      <c r="Q8" s="288"/>
      <c r="R8" s="286" t="str">
        <f>IF(AND('Mapa final'!$J$33="Muy Alta",'Mapa final'!$N$33="Menor"),CONCATENATE("R",'Mapa final'!$A$33),"")</f>
        <v/>
      </c>
      <c r="S8" s="286"/>
      <c r="T8" s="286" t="str">
        <f>IF(AND('Mapa final'!$J$39="Muy Alta",'Mapa final'!$N$39="Menor"),CONCATENATE("R",'Mapa final'!$A$39),"")</f>
        <v/>
      </c>
      <c r="U8" s="287"/>
      <c r="V8" s="291" t="str">
        <f>IF(AND('Mapa final'!$J$27="Muy Alta",'Mapa final'!$N$27="Moderado"),CONCATENATE("R",'Mapa final'!$A$27),"")</f>
        <v/>
      </c>
      <c r="W8" s="288"/>
      <c r="X8" s="286" t="str">
        <f>IF(AND('Mapa final'!$J$33="Muy Alta",'Mapa final'!$N$33="Moderado"),CONCATENATE("R",'Mapa final'!$A$33),"")</f>
        <v/>
      </c>
      <c r="Y8" s="286"/>
      <c r="Z8" s="286" t="str">
        <f>IF(AND('Mapa final'!$J$39="Muy Alta",'Mapa final'!$N$39="Moderado"),CONCATENATE("R",'Mapa final'!$A$39),"")</f>
        <v/>
      </c>
      <c r="AA8" s="287"/>
      <c r="AB8" s="291" t="str">
        <f>IF(AND('Mapa final'!$J$27="Muy Alta",'Mapa final'!$N$27="Mayor"),CONCATENATE("R",'Mapa final'!$A$27),"")</f>
        <v/>
      </c>
      <c r="AC8" s="288"/>
      <c r="AD8" s="286" t="str">
        <f>IF(AND('Mapa final'!$J$33="Muy Alta",'Mapa final'!$N$33="Mayor"),CONCATENATE("R",'Mapa final'!$A$33),"")</f>
        <v/>
      </c>
      <c r="AE8" s="286"/>
      <c r="AF8" s="286" t="str">
        <f>IF(AND('Mapa final'!$J$39="Muy Alta",'Mapa final'!$N$39="Mayor"),CONCATENATE("R",'Mapa final'!$A$39),"")</f>
        <v/>
      </c>
      <c r="AG8" s="287"/>
      <c r="AH8" s="299" t="str">
        <f>IF(AND('Mapa final'!$J$27="Muy Alta",'Mapa final'!$N$27="Catastrófico"),CONCATENATE("R",'Mapa final'!$A$27),"")</f>
        <v/>
      </c>
      <c r="AI8" s="300"/>
      <c r="AJ8" s="300" t="str">
        <f>IF(AND('Mapa final'!$J$33="Muy Alta",'Mapa final'!$N$33="Catastrófico"),CONCATENATE("R",'Mapa final'!$A$33),"")</f>
        <v/>
      </c>
      <c r="AK8" s="300"/>
      <c r="AL8" s="300" t="str">
        <f>IF(AND('Mapa final'!$J$39="Muy Alta",'Mapa final'!$N$39="Catastrófico"),CONCATENATE("R",'Mapa final'!$A$39),"")</f>
        <v/>
      </c>
      <c r="AM8" s="301"/>
      <c r="AN8" s="70"/>
      <c r="AO8" s="244"/>
      <c r="AP8" s="245"/>
      <c r="AQ8" s="245"/>
      <c r="AR8" s="245"/>
      <c r="AS8" s="245"/>
      <c r="AT8" s="24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39"/>
      <c r="C9" s="239"/>
      <c r="D9" s="240"/>
      <c r="E9" s="280"/>
      <c r="F9" s="281"/>
      <c r="G9" s="281"/>
      <c r="H9" s="281"/>
      <c r="I9" s="282"/>
      <c r="J9" s="291"/>
      <c r="K9" s="288"/>
      <c r="L9" s="286"/>
      <c r="M9" s="286"/>
      <c r="N9" s="286"/>
      <c r="O9" s="287"/>
      <c r="P9" s="291"/>
      <c r="Q9" s="288"/>
      <c r="R9" s="286"/>
      <c r="S9" s="286"/>
      <c r="T9" s="286"/>
      <c r="U9" s="287"/>
      <c r="V9" s="291"/>
      <c r="W9" s="288"/>
      <c r="X9" s="286"/>
      <c r="Y9" s="286"/>
      <c r="Z9" s="286"/>
      <c r="AA9" s="287"/>
      <c r="AB9" s="291"/>
      <c r="AC9" s="288"/>
      <c r="AD9" s="286"/>
      <c r="AE9" s="286"/>
      <c r="AF9" s="286"/>
      <c r="AG9" s="287"/>
      <c r="AH9" s="299"/>
      <c r="AI9" s="300"/>
      <c r="AJ9" s="300"/>
      <c r="AK9" s="300"/>
      <c r="AL9" s="300"/>
      <c r="AM9" s="301"/>
      <c r="AN9" s="70"/>
      <c r="AO9" s="244"/>
      <c r="AP9" s="245"/>
      <c r="AQ9" s="245"/>
      <c r="AR9" s="245"/>
      <c r="AS9" s="245"/>
      <c r="AT9" s="24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39"/>
      <c r="C10" s="239"/>
      <c r="D10" s="240"/>
      <c r="E10" s="280"/>
      <c r="F10" s="281"/>
      <c r="G10" s="281"/>
      <c r="H10" s="281"/>
      <c r="I10" s="282"/>
      <c r="J10" s="291" t="str">
        <f>IF(AND('Mapa final'!$J$45="Muy Alta",'Mapa final'!$N$45="Leve"),CONCATENATE("R",'Mapa final'!$A$45),"")</f>
        <v/>
      </c>
      <c r="K10" s="288"/>
      <c r="L10" s="286" t="str">
        <f>IF(AND('Mapa final'!$J$51="Muy Alta",'Mapa final'!$N$51="Leve"),CONCATENATE("R",'Mapa final'!$A$51),"")</f>
        <v/>
      </c>
      <c r="M10" s="286"/>
      <c r="N10" s="286" t="str">
        <f>IF(AND('Mapa final'!$J$57="Muy Alta",'Mapa final'!$N$57="Leve"),CONCATENATE("R",'Mapa final'!$A$57),"")</f>
        <v/>
      </c>
      <c r="O10" s="287"/>
      <c r="P10" s="291" t="str">
        <f>IF(AND('Mapa final'!$J$45="Muy Alta",'Mapa final'!$N$45="Menor"),CONCATENATE("R",'Mapa final'!$A$45),"")</f>
        <v/>
      </c>
      <c r="Q10" s="288"/>
      <c r="R10" s="286" t="str">
        <f>IF(AND('Mapa final'!$J$51="Muy Alta",'Mapa final'!$N$51="Menor"),CONCATENATE("R",'Mapa final'!$A$51),"")</f>
        <v/>
      </c>
      <c r="S10" s="286"/>
      <c r="T10" s="286" t="str">
        <f>IF(AND('Mapa final'!$J$57="Muy Alta",'Mapa final'!$N$57="Menor"),CONCATENATE("R",'Mapa final'!$A$57),"")</f>
        <v/>
      </c>
      <c r="U10" s="287"/>
      <c r="V10" s="291" t="str">
        <f>IF(AND('Mapa final'!$J$45="Muy Alta",'Mapa final'!$N$45="Moderado"),CONCATENATE("R",'Mapa final'!$A$45),"")</f>
        <v/>
      </c>
      <c r="W10" s="288"/>
      <c r="X10" s="286" t="str">
        <f>IF(AND('Mapa final'!$J$51="Muy Alta",'Mapa final'!$N$51="Moderado"),CONCATENATE("R",'Mapa final'!$A$51),"")</f>
        <v/>
      </c>
      <c r="Y10" s="286"/>
      <c r="Z10" s="286" t="str">
        <f>IF(AND('Mapa final'!$J$57="Muy Alta",'Mapa final'!$N$57="Moderado"),CONCATENATE("R",'Mapa final'!$A$57),"")</f>
        <v/>
      </c>
      <c r="AA10" s="287"/>
      <c r="AB10" s="291" t="str">
        <f>IF(AND('Mapa final'!$J$45="Muy Alta",'Mapa final'!$N$45="Mayor"),CONCATENATE("R",'Mapa final'!$A$45),"")</f>
        <v/>
      </c>
      <c r="AC10" s="288"/>
      <c r="AD10" s="286" t="str">
        <f>IF(AND('Mapa final'!$J$51="Muy Alta",'Mapa final'!$N$51="Mayor"),CONCATENATE("R",'Mapa final'!$A$51),"")</f>
        <v/>
      </c>
      <c r="AE10" s="286"/>
      <c r="AF10" s="286" t="str">
        <f>IF(AND('Mapa final'!$J$57="Muy Alta",'Mapa final'!$N$57="Mayor"),CONCATENATE("R",'Mapa final'!$A$57),"")</f>
        <v/>
      </c>
      <c r="AG10" s="287"/>
      <c r="AH10" s="299" t="str">
        <f>IF(AND('Mapa final'!$J$45="Muy Alta",'Mapa final'!$N$45="Catastrófico"),CONCATENATE("R",'Mapa final'!$A$45),"")</f>
        <v/>
      </c>
      <c r="AI10" s="300"/>
      <c r="AJ10" s="300" t="str">
        <f>IF(AND('Mapa final'!$J$51="Muy Alta",'Mapa final'!$N$51="Catastrófico"),CONCATENATE("R",'Mapa final'!$A$51),"")</f>
        <v/>
      </c>
      <c r="AK10" s="300"/>
      <c r="AL10" s="300" t="str">
        <f>IF(AND('Mapa final'!$J$57="Muy Alta",'Mapa final'!$N$57="Catastrófico"),CONCATENATE("R",'Mapa final'!$A$57),"")</f>
        <v/>
      </c>
      <c r="AM10" s="301"/>
      <c r="AN10" s="70"/>
      <c r="AO10" s="244"/>
      <c r="AP10" s="245"/>
      <c r="AQ10" s="245"/>
      <c r="AR10" s="245"/>
      <c r="AS10" s="245"/>
      <c r="AT10" s="24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39"/>
      <c r="C11" s="239"/>
      <c r="D11" s="240"/>
      <c r="E11" s="280"/>
      <c r="F11" s="281"/>
      <c r="G11" s="281"/>
      <c r="H11" s="281"/>
      <c r="I11" s="282"/>
      <c r="J11" s="291"/>
      <c r="K11" s="288"/>
      <c r="L11" s="286"/>
      <c r="M11" s="286"/>
      <c r="N11" s="286"/>
      <c r="O11" s="287"/>
      <c r="P11" s="291"/>
      <c r="Q11" s="288"/>
      <c r="R11" s="286"/>
      <c r="S11" s="286"/>
      <c r="T11" s="286"/>
      <c r="U11" s="287"/>
      <c r="V11" s="291"/>
      <c r="W11" s="288"/>
      <c r="X11" s="286"/>
      <c r="Y11" s="286"/>
      <c r="Z11" s="286"/>
      <c r="AA11" s="287"/>
      <c r="AB11" s="291"/>
      <c r="AC11" s="288"/>
      <c r="AD11" s="286"/>
      <c r="AE11" s="286"/>
      <c r="AF11" s="286"/>
      <c r="AG11" s="287"/>
      <c r="AH11" s="299"/>
      <c r="AI11" s="300"/>
      <c r="AJ11" s="300"/>
      <c r="AK11" s="300"/>
      <c r="AL11" s="300"/>
      <c r="AM11" s="301"/>
      <c r="AN11" s="70"/>
      <c r="AO11" s="244"/>
      <c r="AP11" s="245"/>
      <c r="AQ11" s="245"/>
      <c r="AR11" s="245"/>
      <c r="AS11" s="245"/>
      <c r="AT11" s="24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39"/>
      <c r="C12" s="239"/>
      <c r="D12" s="240"/>
      <c r="E12" s="280"/>
      <c r="F12" s="281"/>
      <c r="G12" s="281"/>
      <c r="H12" s="281"/>
      <c r="I12" s="282"/>
      <c r="J12" s="291" t="str">
        <f>IF(AND('Mapa final'!$J$63="Muy Alta",'Mapa final'!$N$63="Leve"),CONCATENATE("R",'Mapa final'!$A$63),"")</f>
        <v/>
      </c>
      <c r="K12" s="288"/>
      <c r="L12" s="286" t="str">
        <f>IF(AND('Mapa final'!$J$70="Muy Alta",'Mapa final'!$N$70="Leve"),CONCATENATE("R",'Mapa final'!$A$70),"")</f>
        <v/>
      </c>
      <c r="M12" s="286"/>
      <c r="N12" s="286" t="str">
        <f>IF(AND('Mapa final'!$J$76="Muy Alta",'Mapa final'!$N$76="Leve"),CONCATENATE("R",'Mapa final'!$A$76),"")</f>
        <v/>
      </c>
      <c r="O12" s="287"/>
      <c r="P12" s="291" t="str">
        <f>IF(AND('Mapa final'!$J$63="Muy Alta",'Mapa final'!$N$63="Menor"),CONCATENATE("R",'Mapa final'!$A$63),"")</f>
        <v/>
      </c>
      <c r="Q12" s="288"/>
      <c r="R12" s="286" t="str">
        <f>IF(AND('Mapa final'!$J$70="Muy Alta",'Mapa final'!$N$70="Menor"),CONCATENATE("R",'Mapa final'!$A$70),"")</f>
        <v/>
      </c>
      <c r="S12" s="286"/>
      <c r="T12" s="286" t="str">
        <f>IF(AND('Mapa final'!$J$76="Muy Alta",'Mapa final'!$N$76="Menor"),CONCATENATE("R",'Mapa final'!$A$76),"")</f>
        <v/>
      </c>
      <c r="U12" s="287"/>
      <c r="V12" s="291" t="str">
        <f>IF(AND('Mapa final'!$J$63="Muy Alta",'Mapa final'!$N$63="Moderado"),CONCATENATE("R",'Mapa final'!$A$63),"")</f>
        <v/>
      </c>
      <c r="W12" s="288"/>
      <c r="X12" s="286" t="str">
        <f>IF(AND('Mapa final'!$J$70="Muy Alta",'Mapa final'!$N$70="Moderado"),CONCATENATE("R",'Mapa final'!$A$70),"")</f>
        <v/>
      </c>
      <c r="Y12" s="286"/>
      <c r="Z12" s="286" t="str">
        <f>IF(AND('Mapa final'!$J$76="Muy Alta",'Mapa final'!$N$76="Moderado"),CONCATENATE("R",'Mapa final'!$A$76),"")</f>
        <v/>
      </c>
      <c r="AA12" s="287"/>
      <c r="AB12" s="291" t="str">
        <f>IF(AND('Mapa final'!$J$63="Muy Alta",'Mapa final'!$N$63="Mayor"),CONCATENATE("R",'Mapa final'!$A$63),"")</f>
        <v/>
      </c>
      <c r="AC12" s="288"/>
      <c r="AD12" s="286" t="str">
        <f>IF(AND('Mapa final'!$J$70="Muy Alta",'Mapa final'!$N$70="Mayor"),CONCATENATE("R",'Mapa final'!$A$70),"")</f>
        <v/>
      </c>
      <c r="AE12" s="286"/>
      <c r="AF12" s="286" t="str">
        <f>IF(AND('Mapa final'!$J$76="Muy Alta",'Mapa final'!$N$76="Mayor"),CONCATENATE("R",'Mapa final'!$A$76),"")</f>
        <v/>
      </c>
      <c r="AG12" s="287"/>
      <c r="AH12" s="299" t="str">
        <f>IF(AND('Mapa final'!$J$63="Muy Alta",'Mapa final'!$N$63="Catastrófico"),CONCATENATE("R",'Mapa final'!$A$63),"")</f>
        <v/>
      </c>
      <c r="AI12" s="300"/>
      <c r="AJ12" s="300" t="str">
        <f>IF(AND('Mapa final'!$J$70="Muy Alta",'Mapa final'!$N$70="Catastrófico"),CONCATENATE("R",'Mapa final'!$A$70),"")</f>
        <v/>
      </c>
      <c r="AK12" s="300"/>
      <c r="AL12" s="300" t="str">
        <f>IF(AND('Mapa final'!$J$76="Muy Alta",'Mapa final'!$N$76="Catastrófico"),CONCATENATE("R",'Mapa final'!$A$76),"")</f>
        <v/>
      </c>
      <c r="AM12" s="301"/>
      <c r="AN12" s="70"/>
      <c r="AO12" s="244"/>
      <c r="AP12" s="245"/>
      <c r="AQ12" s="245"/>
      <c r="AR12" s="245"/>
      <c r="AS12" s="245"/>
      <c r="AT12" s="24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39"/>
      <c r="C13" s="239"/>
      <c r="D13" s="240"/>
      <c r="E13" s="283"/>
      <c r="F13" s="284"/>
      <c r="G13" s="284"/>
      <c r="H13" s="284"/>
      <c r="I13" s="285"/>
      <c r="J13" s="291"/>
      <c r="K13" s="288"/>
      <c r="L13" s="288"/>
      <c r="M13" s="288"/>
      <c r="N13" s="288"/>
      <c r="O13" s="287"/>
      <c r="P13" s="291"/>
      <c r="Q13" s="288"/>
      <c r="R13" s="288"/>
      <c r="S13" s="288"/>
      <c r="T13" s="288"/>
      <c r="U13" s="287"/>
      <c r="V13" s="291"/>
      <c r="W13" s="288"/>
      <c r="X13" s="288"/>
      <c r="Y13" s="288"/>
      <c r="Z13" s="288"/>
      <c r="AA13" s="287"/>
      <c r="AB13" s="291"/>
      <c r="AC13" s="288"/>
      <c r="AD13" s="288"/>
      <c r="AE13" s="288"/>
      <c r="AF13" s="288"/>
      <c r="AG13" s="287"/>
      <c r="AH13" s="302"/>
      <c r="AI13" s="303"/>
      <c r="AJ13" s="303"/>
      <c r="AK13" s="303"/>
      <c r="AL13" s="303"/>
      <c r="AM13" s="304"/>
      <c r="AN13" s="70"/>
      <c r="AO13" s="247"/>
      <c r="AP13" s="248"/>
      <c r="AQ13" s="248"/>
      <c r="AR13" s="248"/>
      <c r="AS13" s="248"/>
      <c r="AT13" s="24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39"/>
      <c r="C14" s="239"/>
      <c r="D14" s="240"/>
      <c r="E14" s="277" t="s">
        <v>111</v>
      </c>
      <c r="F14" s="278"/>
      <c r="G14" s="278"/>
      <c r="H14" s="278"/>
      <c r="I14" s="278"/>
      <c r="J14" s="314" t="str">
        <f>IF(AND('Mapa final'!$J$9="Alta",'Mapa final'!$N$9="Leve"),CONCATENATE("R",'Mapa final'!$A$9),"")</f>
        <v/>
      </c>
      <c r="K14" s="315"/>
      <c r="L14" s="315" t="str">
        <f>IF(AND('Mapa final'!$J$15="Alta",'Mapa final'!$N$15="Leve"),CONCATENATE("R",'Mapa final'!$A$15),"")</f>
        <v/>
      </c>
      <c r="M14" s="315"/>
      <c r="N14" s="315" t="str">
        <f>IF(AND('Mapa final'!$J$21="Alta",'Mapa final'!$N$21="Leve"),CONCATENATE("R",'Mapa final'!$A$21),"")</f>
        <v/>
      </c>
      <c r="O14" s="316"/>
      <c r="P14" s="314" t="str">
        <f>IF(AND('Mapa final'!$J$9="Alta",'Mapa final'!$N$9="Menor"),CONCATENATE("R",'Mapa final'!$A$9),"")</f>
        <v/>
      </c>
      <c r="Q14" s="315"/>
      <c r="R14" s="315" t="str">
        <f>IF(AND('Mapa final'!$J$15="Alta",'Mapa final'!$N$15="Menor"),CONCATENATE("R",'Mapa final'!$A$15),"")</f>
        <v/>
      </c>
      <c r="S14" s="315"/>
      <c r="T14" s="315" t="str">
        <f>IF(AND('Mapa final'!$J$21="Alta",'Mapa final'!$N$21="Menor"),CONCATENATE("R",'Mapa final'!$A$21),"")</f>
        <v/>
      </c>
      <c r="U14" s="316"/>
      <c r="V14" s="289" t="str">
        <f>IF(AND('Mapa final'!$J$9="Alta",'Mapa final'!$N$9="Moderado"),CONCATENATE("R",'Mapa final'!$A$9),"")</f>
        <v/>
      </c>
      <c r="W14" s="290"/>
      <c r="X14" s="290" t="str">
        <f>IF(AND('Mapa final'!$J$15="Alta",'Mapa final'!$N$15="Moderado"),CONCATENATE("R",'Mapa final'!$A$15),"")</f>
        <v/>
      </c>
      <c r="Y14" s="290"/>
      <c r="Z14" s="290" t="str">
        <f>IF(AND('Mapa final'!$J$21="Alta",'Mapa final'!$N$21="Moderado"),CONCATENATE("R",'Mapa final'!$A$21),"")</f>
        <v/>
      </c>
      <c r="AA14" s="292"/>
      <c r="AB14" s="289" t="str">
        <f>IF(AND('Mapa final'!$J$9="Alta",'Mapa final'!$N$9="Mayor"),CONCATENATE("R",'Mapa final'!$A$9),"")</f>
        <v/>
      </c>
      <c r="AC14" s="290"/>
      <c r="AD14" s="290" t="str">
        <f>IF(AND('Mapa final'!$J$15="Alta",'Mapa final'!$N$15="Mayor"),CONCATENATE("R",'Mapa final'!$A$15),"")</f>
        <v/>
      </c>
      <c r="AE14" s="290"/>
      <c r="AF14" s="290" t="str">
        <f>IF(AND('Mapa final'!$J$21="Alta",'Mapa final'!$N$21="Mayor"),CONCATENATE("R",'Mapa final'!$A$21),"")</f>
        <v/>
      </c>
      <c r="AG14" s="292"/>
      <c r="AH14" s="305" t="str">
        <f>IF(AND('Mapa final'!$J$9="Alta",'Mapa final'!$N$9="Catastrófico"),CONCATENATE("R",'Mapa final'!$A$9),"")</f>
        <v/>
      </c>
      <c r="AI14" s="306"/>
      <c r="AJ14" s="306" t="str">
        <f>IF(AND('Mapa final'!$J$15="Alta",'Mapa final'!$N$15="Catastrófico"),CONCATENATE("R",'Mapa final'!$A$15),"")</f>
        <v/>
      </c>
      <c r="AK14" s="306"/>
      <c r="AL14" s="306" t="str">
        <f>IF(AND('Mapa final'!$J$21="Alta",'Mapa final'!$N$21="Catastrófico"),CONCATENATE("R",'Mapa final'!$A$21),"")</f>
        <v/>
      </c>
      <c r="AM14" s="307"/>
      <c r="AN14" s="70"/>
      <c r="AO14" s="250" t="s">
        <v>76</v>
      </c>
      <c r="AP14" s="251"/>
      <c r="AQ14" s="251"/>
      <c r="AR14" s="251"/>
      <c r="AS14" s="251"/>
      <c r="AT14" s="25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39"/>
      <c r="C15" s="239"/>
      <c r="D15" s="240"/>
      <c r="E15" s="280"/>
      <c r="F15" s="281"/>
      <c r="G15" s="281"/>
      <c r="H15" s="281"/>
      <c r="I15" s="294"/>
      <c r="J15" s="308"/>
      <c r="K15" s="309"/>
      <c r="L15" s="309"/>
      <c r="M15" s="309"/>
      <c r="N15" s="309"/>
      <c r="O15" s="310"/>
      <c r="P15" s="308"/>
      <c r="Q15" s="309"/>
      <c r="R15" s="309"/>
      <c r="S15" s="309"/>
      <c r="T15" s="309"/>
      <c r="U15" s="310"/>
      <c r="V15" s="291"/>
      <c r="W15" s="288"/>
      <c r="X15" s="288"/>
      <c r="Y15" s="288"/>
      <c r="Z15" s="288"/>
      <c r="AA15" s="287"/>
      <c r="AB15" s="291"/>
      <c r="AC15" s="288"/>
      <c r="AD15" s="288"/>
      <c r="AE15" s="288"/>
      <c r="AF15" s="288"/>
      <c r="AG15" s="287"/>
      <c r="AH15" s="299"/>
      <c r="AI15" s="300"/>
      <c r="AJ15" s="300"/>
      <c r="AK15" s="300"/>
      <c r="AL15" s="300"/>
      <c r="AM15" s="301"/>
      <c r="AN15" s="70"/>
      <c r="AO15" s="253"/>
      <c r="AP15" s="254"/>
      <c r="AQ15" s="254"/>
      <c r="AR15" s="254"/>
      <c r="AS15" s="254"/>
      <c r="AT15" s="25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39"/>
      <c r="C16" s="239"/>
      <c r="D16" s="240"/>
      <c r="E16" s="280"/>
      <c r="F16" s="281"/>
      <c r="G16" s="281"/>
      <c r="H16" s="281"/>
      <c r="I16" s="294"/>
      <c r="J16" s="308" t="str">
        <f>IF(AND('Mapa final'!$J$27="Alta",'Mapa final'!$N$27="Leve"),CONCATENATE("R",'Mapa final'!$A$27),"")</f>
        <v/>
      </c>
      <c r="K16" s="309"/>
      <c r="L16" s="309" t="str">
        <f>IF(AND('Mapa final'!$J$33="Alta",'Mapa final'!$N$33="Leve"),CONCATENATE("R",'Mapa final'!$A$33),"")</f>
        <v/>
      </c>
      <c r="M16" s="309"/>
      <c r="N16" s="309" t="str">
        <f>IF(AND('Mapa final'!$J$39="Alta",'Mapa final'!$N$39="Leve"),CONCATENATE("R",'Mapa final'!$A$39),"")</f>
        <v/>
      </c>
      <c r="O16" s="310"/>
      <c r="P16" s="308" t="str">
        <f>IF(AND('Mapa final'!$J$27="Alta",'Mapa final'!$N$27="Menor"),CONCATENATE("R",'Mapa final'!$A$27),"")</f>
        <v/>
      </c>
      <c r="Q16" s="309"/>
      <c r="R16" s="309" t="str">
        <f>IF(AND('Mapa final'!$J$33="Alta",'Mapa final'!$N$33="Menor"),CONCATENATE("R",'Mapa final'!$A$33),"")</f>
        <v/>
      </c>
      <c r="S16" s="309"/>
      <c r="T16" s="309" t="str">
        <f>IF(AND('Mapa final'!$J$39="Alta",'Mapa final'!$N$39="Menor"),CONCATENATE("R",'Mapa final'!$A$39),"")</f>
        <v/>
      </c>
      <c r="U16" s="310"/>
      <c r="V16" s="291" t="str">
        <f>IF(AND('Mapa final'!$J$27="Alta",'Mapa final'!$N$27="Moderado"),CONCATENATE("R",'Mapa final'!$A$27),"")</f>
        <v/>
      </c>
      <c r="W16" s="288"/>
      <c r="X16" s="286" t="str">
        <f>IF(AND('Mapa final'!$J$33="Alta",'Mapa final'!$N$33="Moderado"),CONCATENATE("R",'Mapa final'!$A$33),"")</f>
        <v/>
      </c>
      <c r="Y16" s="286"/>
      <c r="Z16" s="286" t="str">
        <f>IF(AND('Mapa final'!$J$39="Alta",'Mapa final'!$N$39="Moderado"),CONCATENATE("R",'Mapa final'!$A$39),"")</f>
        <v/>
      </c>
      <c r="AA16" s="287"/>
      <c r="AB16" s="291" t="str">
        <f>IF(AND('Mapa final'!$J$27="Alta",'Mapa final'!$N$27="Mayor"),CONCATENATE("R",'Mapa final'!$A$27),"")</f>
        <v/>
      </c>
      <c r="AC16" s="288"/>
      <c r="AD16" s="286" t="str">
        <f>IF(AND('Mapa final'!$J$33="Alta",'Mapa final'!$N$33="Mayor"),CONCATENATE("R",'Mapa final'!$A$33),"")</f>
        <v/>
      </c>
      <c r="AE16" s="286"/>
      <c r="AF16" s="286" t="str">
        <f>IF(AND('Mapa final'!$J$39="Alta",'Mapa final'!$N$39="Mayor"),CONCATENATE("R",'Mapa final'!$A$39),"")</f>
        <v/>
      </c>
      <c r="AG16" s="287"/>
      <c r="AH16" s="299" t="str">
        <f>IF(AND('Mapa final'!$J$27="Alta",'Mapa final'!$N$27="Catastrófico"),CONCATENATE("R",'Mapa final'!$A$27),"")</f>
        <v/>
      </c>
      <c r="AI16" s="300"/>
      <c r="AJ16" s="300" t="str">
        <f>IF(AND('Mapa final'!$J$33="Alta",'Mapa final'!$N$33="Catastrófico"),CONCATENATE("R",'Mapa final'!$A$33),"")</f>
        <v/>
      </c>
      <c r="AK16" s="300"/>
      <c r="AL16" s="300" t="str">
        <f>IF(AND('Mapa final'!$J$39="Alta",'Mapa final'!$N$39="Catastrófico"),CONCATENATE("R",'Mapa final'!$A$39),"")</f>
        <v/>
      </c>
      <c r="AM16" s="301"/>
      <c r="AN16" s="70"/>
      <c r="AO16" s="253"/>
      <c r="AP16" s="254"/>
      <c r="AQ16" s="254"/>
      <c r="AR16" s="254"/>
      <c r="AS16" s="254"/>
      <c r="AT16" s="25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39"/>
      <c r="C17" s="239"/>
      <c r="D17" s="240"/>
      <c r="E17" s="280"/>
      <c r="F17" s="281"/>
      <c r="G17" s="281"/>
      <c r="H17" s="281"/>
      <c r="I17" s="294"/>
      <c r="J17" s="308"/>
      <c r="K17" s="309"/>
      <c r="L17" s="309"/>
      <c r="M17" s="309"/>
      <c r="N17" s="309"/>
      <c r="O17" s="310"/>
      <c r="P17" s="308"/>
      <c r="Q17" s="309"/>
      <c r="R17" s="309"/>
      <c r="S17" s="309"/>
      <c r="T17" s="309"/>
      <c r="U17" s="310"/>
      <c r="V17" s="291"/>
      <c r="W17" s="288"/>
      <c r="X17" s="286"/>
      <c r="Y17" s="286"/>
      <c r="Z17" s="286"/>
      <c r="AA17" s="287"/>
      <c r="AB17" s="291"/>
      <c r="AC17" s="288"/>
      <c r="AD17" s="286"/>
      <c r="AE17" s="286"/>
      <c r="AF17" s="286"/>
      <c r="AG17" s="287"/>
      <c r="AH17" s="299"/>
      <c r="AI17" s="300"/>
      <c r="AJ17" s="300"/>
      <c r="AK17" s="300"/>
      <c r="AL17" s="300"/>
      <c r="AM17" s="301"/>
      <c r="AN17" s="70"/>
      <c r="AO17" s="253"/>
      <c r="AP17" s="254"/>
      <c r="AQ17" s="254"/>
      <c r="AR17" s="254"/>
      <c r="AS17" s="254"/>
      <c r="AT17" s="255"/>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39"/>
      <c r="C18" s="239"/>
      <c r="D18" s="240"/>
      <c r="E18" s="280"/>
      <c r="F18" s="281"/>
      <c r="G18" s="281"/>
      <c r="H18" s="281"/>
      <c r="I18" s="294"/>
      <c r="J18" s="308" t="str">
        <f>IF(AND('Mapa final'!$J$45="Alta",'Mapa final'!$N$45="Leve"),CONCATENATE("R",'Mapa final'!$A$45),"")</f>
        <v/>
      </c>
      <c r="K18" s="309"/>
      <c r="L18" s="309" t="str">
        <f>IF(AND('Mapa final'!$J$51="Alta",'Mapa final'!$N$51="Leve"),CONCATENATE("R",'Mapa final'!$A$51),"")</f>
        <v/>
      </c>
      <c r="M18" s="309"/>
      <c r="N18" s="309" t="str">
        <f>IF(AND('Mapa final'!$J$57="Alta",'Mapa final'!$N$57="Leve"),CONCATENATE("R",'Mapa final'!$A$57),"")</f>
        <v/>
      </c>
      <c r="O18" s="310"/>
      <c r="P18" s="308" t="str">
        <f>IF(AND('Mapa final'!$J$45="Alta",'Mapa final'!$N$45="Menor"),CONCATENATE("R",'Mapa final'!$A$45),"")</f>
        <v/>
      </c>
      <c r="Q18" s="309"/>
      <c r="R18" s="309" t="str">
        <f>IF(AND('Mapa final'!$J$51="Alta",'Mapa final'!$N$51="Menor"),CONCATENATE("R",'Mapa final'!$A$51),"")</f>
        <v/>
      </c>
      <c r="S18" s="309"/>
      <c r="T18" s="309" t="str">
        <f>IF(AND('Mapa final'!$J$57="Alta",'Mapa final'!$N$57="Menor"),CONCATENATE("R",'Mapa final'!$A$57),"")</f>
        <v/>
      </c>
      <c r="U18" s="310"/>
      <c r="V18" s="291" t="str">
        <f>IF(AND('Mapa final'!$J$45="Alta",'Mapa final'!$N$45="Moderado"),CONCATENATE("R",'Mapa final'!$A$45),"")</f>
        <v/>
      </c>
      <c r="W18" s="288"/>
      <c r="X18" s="286" t="str">
        <f>IF(AND('Mapa final'!$J$51="Alta",'Mapa final'!$N$51="Moderado"),CONCATENATE("R",'Mapa final'!$A$51),"")</f>
        <v/>
      </c>
      <c r="Y18" s="286"/>
      <c r="Z18" s="286" t="str">
        <f>IF(AND('Mapa final'!$J$57="Alta",'Mapa final'!$N$57="Moderado"),CONCATENATE("R",'Mapa final'!$A$57),"")</f>
        <v/>
      </c>
      <c r="AA18" s="287"/>
      <c r="AB18" s="291" t="str">
        <f>IF(AND('Mapa final'!$J$45="Alta",'Mapa final'!$N$45="Mayor"),CONCATENATE("R",'Mapa final'!$A$45),"")</f>
        <v/>
      </c>
      <c r="AC18" s="288"/>
      <c r="AD18" s="286" t="str">
        <f>IF(AND('Mapa final'!$J$51="Alta",'Mapa final'!$N$51="Mayor"),CONCATENATE("R",'Mapa final'!$A$51),"")</f>
        <v/>
      </c>
      <c r="AE18" s="286"/>
      <c r="AF18" s="286" t="str">
        <f>IF(AND('Mapa final'!$J$57="Alta",'Mapa final'!$N$57="Mayor"),CONCATENATE("R",'Mapa final'!$A$57),"")</f>
        <v/>
      </c>
      <c r="AG18" s="287"/>
      <c r="AH18" s="299" t="str">
        <f>IF(AND('Mapa final'!$J$45="Alta",'Mapa final'!$N$45="Catastrófico"),CONCATENATE("R",'Mapa final'!$A$45),"")</f>
        <v/>
      </c>
      <c r="AI18" s="300"/>
      <c r="AJ18" s="300" t="str">
        <f>IF(AND('Mapa final'!$J$51="Alta",'Mapa final'!$N$51="Catastrófico"),CONCATENATE("R",'Mapa final'!$A$51),"")</f>
        <v/>
      </c>
      <c r="AK18" s="300"/>
      <c r="AL18" s="300" t="str">
        <f>IF(AND('Mapa final'!$J$57="Alta",'Mapa final'!$N$57="Catastrófico"),CONCATENATE("R",'Mapa final'!$A$57),"")</f>
        <v/>
      </c>
      <c r="AM18" s="301"/>
      <c r="AN18" s="70"/>
      <c r="AO18" s="253"/>
      <c r="AP18" s="254"/>
      <c r="AQ18" s="254"/>
      <c r="AR18" s="254"/>
      <c r="AS18" s="254"/>
      <c r="AT18" s="255"/>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39"/>
      <c r="C19" s="239"/>
      <c r="D19" s="240"/>
      <c r="E19" s="280"/>
      <c r="F19" s="281"/>
      <c r="G19" s="281"/>
      <c r="H19" s="281"/>
      <c r="I19" s="294"/>
      <c r="J19" s="308"/>
      <c r="K19" s="309"/>
      <c r="L19" s="309"/>
      <c r="M19" s="309"/>
      <c r="N19" s="309"/>
      <c r="O19" s="310"/>
      <c r="P19" s="308"/>
      <c r="Q19" s="309"/>
      <c r="R19" s="309"/>
      <c r="S19" s="309"/>
      <c r="T19" s="309"/>
      <c r="U19" s="310"/>
      <c r="V19" s="291"/>
      <c r="W19" s="288"/>
      <c r="X19" s="286"/>
      <c r="Y19" s="286"/>
      <c r="Z19" s="286"/>
      <c r="AA19" s="287"/>
      <c r="AB19" s="291"/>
      <c r="AC19" s="288"/>
      <c r="AD19" s="286"/>
      <c r="AE19" s="286"/>
      <c r="AF19" s="286"/>
      <c r="AG19" s="287"/>
      <c r="AH19" s="299"/>
      <c r="AI19" s="300"/>
      <c r="AJ19" s="300"/>
      <c r="AK19" s="300"/>
      <c r="AL19" s="300"/>
      <c r="AM19" s="301"/>
      <c r="AN19" s="70"/>
      <c r="AO19" s="253"/>
      <c r="AP19" s="254"/>
      <c r="AQ19" s="254"/>
      <c r="AR19" s="254"/>
      <c r="AS19" s="254"/>
      <c r="AT19" s="255"/>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39"/>
      <c r="C20" s="239"/>
      <c r="D20" s="240"/>
      <c r="E20" s="280"/>
      <c r="F20" s="281"/>
      <c r="G20" s="281"/>
      <c r="H20" s="281"/>
      <c r="I20" s="294"/>
      <c r="J20" s="308" t="str">
        <f>IF(AND('Mapa final'!$J$63="Alta",'Mapa final'!$N$63="Leve"),CONCATENATE("R",'Mapa final'!$A$63),"")</f>
        <v/>
      </c>
      <c r="K20" s="309"/>
      <c r="L20" s="309" t="str">
        <f>IF(AND('Mapa final'!$J$70="Alta",'Mapa final'!$N$70="Leve"),CONCATENATE("R",'Mapa final'!$A$70),"")</f>
        <v/>
      </c>
      <c r="M20" s="309"/>
      <c r="N20" s="309" t="str">
        <f>IF(AND('Mapa final'!$J$76="Alta",'Mapa final'!$N$76="Leve"),CONCATENATE("R",'Mapa final'!$A$76),"")</f>
        <v/>
      </c>
      <c r="O20" s="310"/>
      <c r="P20" s="308" t="str">
        <f>IF(AND('Mapa final'!$J$63="Alta",'Mapa final'!$N$63="Menor"),CONCATENATE("R",'Mapa final'!$A$63),"")</f>
        <v/>
      </c>
      <c r="Q20" s="309"/>
      <c r="R20" s="309" t="str">
        <f>IF(AND('Mapa final'!$J$70="Alta",'Mapa final'!$N$70="Menor"),CONCATENATE("R",'Mapa final'!$A$70),"")</f>
        <v/>
      </c>
      <c r="S20" s="309"/>
      <c r="T20" s="309" t="str">
        <f>IF(AND('Mapa final'!$J$76="Alta",'Mapa final'!$N$76="Menor"),CONCATENATE("R",'Mapa final'!$A$76),"")</f>
        <v/>
      </c>
      <c r="U20" s="310"/>
      <c r="V20" s="291" t="str">
        <f>IF(AND('Mapa final'!$J$63="Alta",'Mapa final'!$N$63="Moderado"),CONCATENATE("R",'Mapa final'!$A$63),"")</f>
        <v/>
      </c>
      <c r="W20" s="288"/>
      <c r="X20" s="286" t="str">
        <f>IF(AND('Mapa final'!$J$70="Alta",'Mapa final'!$N$70="Moderado"),CONCATENATE("R",'Mapa final'!$A$70),"")</f>
        <v/>
      </c>
      <c r="Y20" s="286"/>
      <c r="Z20" s="286" t="str">
        <f>IF(AND('Mapa final'!$J$76="Alta",'Mapa final'!$N$76="Moderado"),CONCATENATE("R",'Mapa final'!$A$76),"")</f>
        <v/>
      </c>
      <c r="AA20" s="287"/>
      <c r="AB20" s="291" t="str">
        <f>IF(AND('Mapa final'!$J$63="Alta",'Mapa final'!$N$63="Mayor"),CONCATENATE("R",'Mapa final'!$A$63),"")</f>
        <v/>
      </c>
      <c r="AC20" s="288"/>
      <c r="AD20" s="286" t="str">
        <f>IF(AND('Mapa final'!$J$70="Alta",'Mapa final'!$N$70="Mayor"),CONCATENATE("R",'Mapa final'!$A$70),"")</f>
        <v/>
      </c>
      <c r="AE20" s="286"/>
      <c r="AF20" s="286" t="str">
        <f>IF(AND('Mapa final'!$J$76="Alta",'Mapa final'!$N$76="Mayor"),CONCATENATE("R",'Mapa final'!$A$76),"")</f>
        <v/>
      </c>
      <c r="AG20" s="287"/>
      <c r="AH20" s="299" t="str">
        <f>IF(AND('Mapa final'!$J$63="Alta",'Mapa final'!$N$63="Catastrófico"),CONCATENATE("R",'Mapa final'!$A$63),"")</f>
        <v/>
      </c>
      <c r="AI20" s="300"/>
      <c r="AJ20" s="300" t="str">
        <f>IF(AND('Mapa final'!$J$70="Alta",'Mapa final'!$N$70="Catastrófico"),CONCATENATE("R",'Mapa final'!$A$70),"")</f>
        <v/>
      </c>
      <c r="AK20" s="300"/>
      <c r="AL20" s="300" t="str">
        <f>IF(AND('Mapa final'!$J$76="Alta",'Mapa final'!$N$76="Catastrófico"),CONCATENATE("R",'Mapa final'!$A$76),"")</f>
        <v/>
      </c>
      <c r="AM20" s="301"/>
      <c r="AN20" s="70"/>
      <c r="AO20" s="253"/>
      <c r="AP20" s="254"/>
      <c r="AQ20" s="254"/>
      <c r="AR20" s="254"/>
      <c r="AS20" s="254"/>
      <c r="AT20" s="25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39"/>
      <c r="C21" s="239"/>
      <c r="D21" s="240"/>
      <c r="E21" s="283"/>
      <c r="F21" s="284"/>
      <c r="G21" s="284"/>
      <c r="H21" s="284"/>
      <c r="I21" s="284"/>
      <c r="J21" s="311"/>
      <c r="K21" s="312"/>
      <c r="L21" s="312"/>
      <c r="M21" s="312"/>
      <c r="N21" s="312"/>
      <c r="O21" s="313"/>
      <c r="P21" s="311"/>
      <c r="Q21" s="312"/>
      <c r="R21" s="312"/>
      <c r="S21" s="312"/>
      <c r="T21" s="312"/>
      <c r="U21" s="313"/>
      <c r="V21" s="296"/>
      <c r="W21" s="297"/>
      <c r="X21" s="297"/>
      <c r="Y21" s="297"/>
      <c r="Z21" s="297"/>
      <c r="AA21" s="298"/>
      <c r="AB21" s="296"/>
      <c r="AC21" s="297"/>
      <c r="AD21" s="297"/>
      <c r="AE21" s="297"/>
      <c r="AF21" s="297"/>
      <c r="AG21" s="298"/>
      <c r="AH21" s="302"/>
      <c r="AI21" s="303"/>
      <c r="AJ21" s="303"/>
      <c r="AK21" s="303"/>
      <c r="AL21" s="303"/>
      <c r="AM21" s="304"/>
      <c r="AN21" s="70"/>
      <c r="AO21" s="256"/>
      <c r="AP21" s="257"/>
      <c r="AQ21" s="257"/>
      <c r="AR21" s="257"/>
      <c r="AS21" s="257"/>
      <c r="AT21" s="25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39"/>
      <c r="C22" s="239"/>
      <c r="D22" s="240"/>
      <c r="E22" s="277" t="s">
        <v>113</v>
      </c>
      <c r="F22" s="278"/>
      <c r="G22" s="278"/>
      <c r="H22" s="278"/>
      <c r="I22" s="279"/>
      <c r="J22" s="314" t="str">
        <f>IF(AND('Mapa final'!$J$9="Media",'Mapa final'!$N$9="Leve"),CONCATENATE("R",'Mapa final'!$A$9),"")</f>
        <v/>
      </c>
      <c r="K22" s="315"/>
      <c r="L22" s="315" t="str">
        <f>IF(AND('Mapa final'!$J$15="Media",'Mapa final'!$N$15="Leve"),CONCATENATE("R",'Mapa final'!$A$15),"")</f>
        <v>R2</v>
      </c>
      <c r="M22" s="315"/>
      <c r="N22" s="315" t="str">
        <f>IF(AND('Mapa final'!$J$21="Media",'Mapa final'!$N$21="Leve"),CONCATENATE("R",'Mapa final'!$A$21),"")</f>
        <v/>
      </c>
      <c r="O22" s="316"/>
      <c r="P22" s="314" t="str">
        <f>IF(AND('Mapa final'!$J$9="Media",'Mapa final'!$N$9="Menor"),CONCATENATE("R",'Mapa final'!$A$9),"")</f>
        <v/>
      </c>
      <c r="Q22" s="315"/>
      <c r="R22" s="315" t="str">
        <f>IF(AND('Mapa final'!$J$15="Media",'Mapa final'!$N$15="Menor"),CONCATENATE("R",'Mapa final'!$A$15),"")</f>
        <v/>
      </c>
      <c r="S22" s="315"/>
      <c r="T22" s="315" t="str">
        <f>IF(AND('Mapa final'!$J$21="Media",'Mapa final'!$N$21="Menor"),CONCATENATE("R",'Mapa final'!$A$21),"")</f>
        <v/>
      </c>
      <c r="U22" s="316"/>
      <c r="V22" s="314" t="str">
        <f>IF(AND('Mapa final'!$J$9="Media",'Mapa final'!$N$9="Moderado"),CONCATENATE("R",'Mapa final'!$A$9),"")</f>
        <v/>
      </c>
      <c r="W22" s="315"/>
      <c r="X22" s="315" t="str">
        <f>IF(AND('Mapa final'!$J$15="Media",'Mapa final'!$N$15="Moderado"),CONCATENATE("R",'Mapa final'!$A$15),"")</f>
        <v/>
      </c>
      <c r="Y22" s="315"/>
      <c r="Z22" s="315" t="str">
        <f>IF(AND('Mapa final'!$J$21="Media",'Mapa final'!$N$21="Moderado"),CONCATENATE("R",'Mapa final'!$A$21),"")</f>
        <v/>
      </c>
      <c r="AA22" s="316"/>
      <c r="AB22" s="289" t="str">
        <f>IF(AND('Mapa final'!$J$9="Media",'Mapa final'!$N$9="Mayor"),CONCATENATE("R",'Mapa final'!$A$9),"")</f>
        <v>R1</v>
      </c>
      <c r="AC22" s="290"/>
      <c r="AD22" s="290" t="str">
        <f>IF(AND('Mapa final'!$J$15="Media",'Mapa final'!$N$15="Mayor"),CONCATENATE("R",'Mapa final'!$A$15),"")</f>
        <v/>
      </c>
      <c r="AE22" s="290"/>
      <c r="AF22" s="290" t="str">
        <f>IF(AND('Mapa final'!$J$21="Media",'Mapa final'!$N$21="Mayor"),CONCATENATE("R",'Mapa final'!$A$21),"")</f>
        <v/>
      </c>
      <c r="AG22" s="292"/>
      <c r="AH22" s="305" t="str">
        <f>IF(AND('Mapa final'!$J$9="Media",'Mapa final'!$N$9="Catastrófico"),CONCATENATE("R",'Mapa final'!$A$9),"")</f>
        <v/>
      </c>
      <c r="AI22" s="306"/>
      <c r="AJ22" s="306" t="str">
        <f>IF(AND('Mapa final'!$J$15="Media",'Mapa final'!$N$15="Catastrófico"),CONCATENATE("R",'Mapa final'!$A$15),"")</f>
        <v/>
      </c>
      <c r="AK22" s="306"/>
      <c r="AL22" s="306" t="str">
        <f>IF(AND('Mapa final'!$J$21="Media",'Mapa final'!$N$21="Catastrófico"),CONCATENATE("R",'Mapa final'!$A$21),"")</f>
        <v/>
      </c>
      <c r="AM22" s="307"/>
      <c r="AN22" s="70"/>
      <c r="AO22" s="259" t="s">
        <v>77</v>
      </c>
      <c r="AP22" s="260"/>
      <c r="AQ22" s="260"/>
      <c r="AR22" s="260"/>
      <c r="AS22" s="260"/>
      <c r="AT22" s="26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39"/>
      <c r="C23" s="239"/>
      <c r="D23" s="240"/>
      <c r="E23" s="280"/>
      <c r="F23" s="281"/>
      <c r="G23" s="281"/>
      <c r="H23" s="281"/>
      <c r="I23" s="282"/>
      <c r="J23" s="308"/>
      <c r="K23" s="309"/>
      <c r="L23" s="309"/>
      <c r="M23" s="309"/>
      <c r="N23" s="309"/>
      <c r="O23" s="310"/>
      <c r="P23" s="308"/>
      <c r="Q23" s="309"/>
      <c r="R23" s="309"/>
      <c r="S23" s="309"/>
      <c r="T23" s="309"/>
      <c r="U23" s="310"/>
      <c r="V23" s="308"/>
      <c r="W23" s="309"/>
      <c r="X23" s="309"/>
      <c r="Y23" s="309"/>
      <c r="Z23" s="309"/>
      <c r="AA23" s="310"/>
      <c r="AB23" s="291"/>
      <c r="AC23" s="288"/>
      <c r="AD23" s="288"/>
      <c r="AE23" s="288"/>
      <c r="AF23" s="288"/>
      <c r="AG23" s="287"/>
      <c r="AH23" s="299"/>
      <c r="AI23" s="300"/>
      <c r="AJ23" s="300"/>
      <c r="AK23" s="300"/>
      <c r="AL23" s="300"/>
      <c r="AM23" s="301"/>
      <c r="AN23" s="70"/>
      <c r="AO23" s="262"/>
      <c r="AP23" s="263"/>
      <c r="AQ23" s="263"/>
      <c r="AR23" s="263"/>
      <c r="AS23" s="263"/>
      <c r="AT23" s="26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39"/>
      <c r="C24" s="239"/>
      <c r="D24" s="240"/>
      <c r="E24" s="280"/>
      <c r="F24" s="281"/>
      <c r="G24" s="281"/>
      <c r="H24" s="281"/>
      <c r="I24" s="282"/>
      <c r="J24" s="308" t="str">
        <f>IF(AND('Mapa final'!$J$27="Media",'Mapa final'!$N$27="Leve"),CONCATENATE("R",'Mapa final'!$A$27),"")</f>
        <v/>
      </c>
      <c r="K24" s="309"/>
      <c r="L24" s="309" t="str">
        <f>IF(AND('Mapa final'!$J$33="Media",'Mapa final'!$N$33="Leve"),CONCATENATE("R",'Mapa final'!$A$33),"")</f>
        <v/>
      </c>
      <c r="M24" s="309"/>
      <c r="N24" s="309" t="str">
        <f>IF(AND('Mapa final'!$J$39="Media",'Mapa final'!$N$39="Leve"),CONCATENATE("R",'Mapa final'!$A$39),"")</f>
        <v/>
      </c>
      <c r="O24" s="310"/>
      <c r="P24" s="308" t="str">
        <f>IF(AND('Mapa final'!$J$27="Media",'Mapa final'!$N$27="Menor"),CONCATENATE("R",'Mapa final'!$A$27),"")</f>
        <v/>
      </c>
      <c r="Q24" s="309"/>
      <c r="R24" s="309" t="str">
        <f>IF(AND('Mapa final'!$J$33="Media",'Mapa final'!$N$33="Menor"),CONCATENATE("R",'Mapa final'!$A$33),"")</f>
        <v/>
      </c>
      <c r="S24" s="309"/>
      <c r="T24" s="309" t="str">
        <f>IF(AND('Mapa final'!$J$39="Media",'Mapa final'!$N$39="Menor"),CONCATENATE("R",'Mapa final'!$A$39),"")</f>
        <v/>
      </c>
      <c r="U24" s="310"/>
      <c r="V24" s="308" t="str">
        <f>IF(AND('Mapa final'!$J$27="Media",'Mapa final'!$N$27="Moderado"),CONCATENATE("R",'Mapa final'!$A$27),"")</f>
        <v/>
      </c>
      <c r="W24" s="309"/>
      <c r="X24" s="309" t="str">
        <f>IF(AND('Mapa final'!$J$33="Media",'Mapa final'!$N$33="Moderado"),CONCATENATE("R",'Mapa final'!$A$33),"")</f>
        <v/>
      </c>
      <c r="Y24" s="309"/>
      <c r="Z24" s="309" t="str">
        <f>IF(AND('Mapa final'!$J$39="Media",'Mapa final'!$N$39="Moderado"),CONCATENATE("R",'Mapa final'!$A$39),"")</f>
        <v/>
      </c>
      <c r="AA24" s="310"/>
      <c r="AB24" s="291" t="str">
        <f>IF(AND('Mapa final'!$J$27="Media",'Mapa final'!$N$27="Mayor"),CONCATENATE("R",'Mapa final'!$A$27),"")</f>
        <v/>
      </c>
      <c r="AC24" s="288"/>
      <c r="AD24" s="286" t="str">
        <f>IF(AND('Mapa final'!$J$33="Media",'Mapa final'!$N$33="Mayor"),CONCATENATE("R",'Mapa final'!$A$33),"")</f>
        <v/>
      </c>
      <c r="AE24" s="286"/>
      <c r="AF24" s="286" t="str">
        <f>IF(AND('Mapa final'!$J$39="Media",'Mapa final'!$N$39="Mayor"),CONCATENATE("R",'Mapa final'!$A$39),"")</f>
        <v/>
      </c>
      <c r="AG24" s="287"/>
      <c r="AH24" s="299" t="str">
        <f>IF(AND('Mapa final'!$J$27="Media",'Mapa final'!$N$27="Catastrófico"),CONCATENATE("R",'Mapa final'!$A$27),"")</f>
        <v/>
      </c>
      <c r="AI24" s="300"/>
      <c r="AJ24" s="300" t="str">
        <f>IF(AND('Mapa final'!$J$33="Media",'Mapa final'!$N$33="Catastrófico"),CONCATENATE("R",'Mapa final'!$A$33),"")</f>
        <v/>
      </c>
      <c r="AK24" s="300"/>
      <c r="AL24" s="300" t="str">
        <f>IF(AND('Mapa final'!$J$39="Media",'Mapa final'!$N$39="Catastrófico"),CONCATENATE("R",'Mapa final'!$A$39),"")</f>
        <v/>
      </c>
      <c r="AM24" s="301"/>
      <c r="AN24" s="70"/>
      <c r="AO24" s="262"/>
      <c r="AP24" s="263"/>
      <c r="AQ24" s="263"/>
      <c r="AR24" s="263"/>
      <c r="AS24" s="263"/>
      <c r="AT24" s="26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39"/>
      <c r="C25" s="239"/>
      <c r="D25" s="240"/>
      <c r="E25" s="280"/>
      <c r="F25" s="281"/>
      <c r="G25" s="281"/>
      <c r="H25" s="281"/>
      <c r="I25" s="282"/>
      <c r="J25" s="308"/>
      <c r="K25" s="309"/>
      <c r="L25" s="309"/>
      <c r="M25" s="309"/>
      <c r="N25" s="309"/>
      <c r="O25" s="310"/>
      <c r="P25" s="308"/>
      <c r="Q25" s="309"/>
      <c r="R25" s="309"/>
      <c r="S25" s="309"/>
      <c r="T25" s="309"/>
      <c r="U25" s="310"/>
      <c r="V25" s="308"/>
      <c r="W25" s="309"/>
      <c r="X25" s="309"/>
      <c r="Y25" s="309"/>
      <c r="Z25" s="309"/>
      <c r="AA25" s="310"/>
      <c r="AB25" s="291"/>
      <c r="AC25" s="288"/>
      <c r="AD25" s="286"/>
      <c r="AE25" s="286"/>
      <c r="AF25" s="286"/>
      <c r="AG25" s="287"/>
      <c r="AH25" s="299"/>
      <c r="AI25" s="300"/>
      <c r="AJ25" s="300"/>
      <c r="AK25" s="300"/>
      <c r="AL25" s="300"/>
      <c r="AM25" s="301"/>
      <c r="AN25" s="70"/>
      <c r="AO25" s="262"/>
      <c r="AP25" s="263"/>
      <c r="AQ25" s="263"/>
      <c r="AR25" s="263"/>
      <c r="AS25" s="263"/>
      <c r="AT25" s="26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39"/>
      <c r="C26" s="239"/>
      <c r="D26" s="240"/>
      <c r="E26" s="280"/>
      <c r="F26" s="281"/>
      <c r="G26" s="281"/>
      <c r="H26" s="281"/>
      <c r="I26" s="282"/>
      <c r="J26" s="308" t="str">
        <f>IF(AND('Mapa final'!$J$45="Media",'Mapa final'!$N$45="Leve"),CONCATENATE("R",'Mapa final'!$A$45),"")</f>
        <v/>
      </c>
      <c r="K26" s="309"/>
      <c r="L26" s="309" t="str">
        <f>IF(AND('Mapa final'!$J$51="Media",'Mapa final'!$N$51="Leve"),CONCATENATE("R",'Mapa final'!$A$51),"")</f>
        <v/>
      </c>
      <c r="M26" s="309"/>
      <c r="N26" s="309" t="str">
        <f>IF(AND('Mapa final'!$J$57="Media",'Mapa final'!$N$57="Leve"),CONCATENATE("R",'Mapa final'!$A$57),"")</f>
        <v/>
      </c>
      <c r="O26" s="310"/>
      <c r="P26" s="308" t="str">
        <f>IF(AND('Mapa final'!$J$45="Media",'Mapa final'!$N$45="Menor"),CONCATENATE("R",'Mapa final'!$A$45),"")</f>
        <v/>
      </c>
      <c r="Q26" s="309"/>
      <c r="R26" s="309" t="str">
        <f>IF(AND('Mapa final'!$J$51="Media",'Mapa final'!$N$51="Menor"),CONCATENATE("R",'Mapa final'!$A$51),"")</f>
        <v/>
      </c>
      <c r="S26" s="309"/>
      <c r="T26" s="309" t="str">
        <f>IF(AND('Mapa final'!$J$57="Media",'Mapa final'!$N$57="Menor"),CONCATENATE("R",'Mapa final'!$A$57),"")</f>
        <v/>
      </c>
      <c r="U26" s="310"/>
      <c r="V26" s="308" t="str">
        <f>IF(AND('Mapa final'!$J$45="Media",'Mapa final'!$N$45="Moderado"),CONCATENATE("R",'Mapa final'!$A$45),"")</f>
        <v/>
      </c>
      <c r="W26" s="309"/>
      <c r="X26" s="309" t="str">
        <f>IF(AND('Mapa final'!$J$51="Media",'Mapa final'!$N$51="Moderado"),CONCATENATE("R",'Mapa final'!$A$51),"")</f>
        <v/>
      </c>
      <c r="Y26" s="309"/>
      <c r="Z26" s="309" t="str">
        <f>IF(AND('Mapa final'!$J$57="Media",'Mapa final'!$N$57="Moderado"),CONCATENATE("R",'Mapa final'!$A$57),"")</f>
        <v/>
      </c>
      <c r="AA26" s="310"/>
      <c r="AB26" s="291" t="str">
        <f>IF(AND('Mapa final'!$J$45="Media",'Mapa final'!$N$45="Mayor"),CONCATENATE("R",'Mapa final'!$A$45),"")</f>
        <v/>
      </c>
      <c r="AC26" s="288"/>
      <c r="AD26" s="286" t="str">
        <f>IF(AND('Mapa final'!$J$51="Media",'Mapa final'!$N$51="Mayor"),CONCATENATE("R",'Mapa final'!$A$51),"")</f>
        <v/>
      </c>
      <c r="AE26" s="286"/>
      <c r="AF26" s="286" t="str">
        <f>IF(AND('Mapa final'!$J$57="Media",'Mapa final'!$N$57="Mayor"),CONCATENATE("R",'Mapa final'!$A$57),"")</f>
        <v/>
      </c>
      <c r="AG26" s="287"/>
      <c r="AH26" s="299" t="str">
        <f>IF(AND('Mapa final'!$J$45="Media",'Mapa final'!$N$45="Catastrófico"),CONCATENATE("R",'Mapa final'!$A$45),"")</f>
        <v/>
      </c>
      <c r="AI26" s="300"/>
      <c r="AJ26" s="300" t="str">
        <f>IF(AND('Mapa final'!$J$51="Media",'Mapa final'!$N$51="Catastrófico"),CONCATENATE("R",'Mapa final'!$A$51),"")</f>
        <v/>
      </c>
      <c r="AK26" s="300"/>
      <c r="AL26" s="300" t="str">
        <f>IF(AND('Mapa final'!$J$57="Media",'Mapa final'!$N$57="Catastrófico"),CONCATENATE("R",'Mapa final'!$A$57),"")</f>
        <v/>
      </c>
      <c r="AM26" s="301"/>
      <c r="AN26" s="70"/>
      <c r="AO26" s="262"/>
      <c r="AP26" s="263"/>
      <c r="AQ26" s="263"/>
      <c r="AR26" s="263"/>
      <c r="AS26" s="263"/>
      <c r="AT26" s="26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39"/>
      <c r="C27" s="239"/>
      <c r="D27" s="240"/>
      <c r="E27" s="280"/>
      <c r="F27" s="281"/>
      <c r="G27" s="281"/>
      <c r="H27" s="281"/>
      <c r="I27" s="282"/>
      <c r="J27" s="308"/>
      <c r="K27" s="309"/>
      <c r="L27" s="309"/>
      <c r="M27" s="309"/>
      <c r="N27" s="309"/>
      <c r="O27" s="310"/>
      <c r="P27" s="308"/>
      <c r="Q27" s="309"/>
      <c r="R27" s="309"/>
      <c r="S27" s="309"/>
      <c r="T27" s="309"/>
      <c r="U27" s="310"/>
      <c r="V27" s="308"/>
      <c r="W27" s="309"/>
      <c r="X27" s="309"/>
      <c r="Y27" s="309"/>
      <c r="Z27" s="309"/>
      <c r="AA27" s="310"/>
      <c r="AB27" s="291"/>
      <c r="AC27" s="288"/>
      <c r="AD27" s="286"/>
      <c r="AE27" s="286"/>
      <c r="AF27" s="286"/>
      <c r="AG27" s="287"/>
      <c r="AH27" s="299"/>
      <c r="AI27" s="300"/>
      <c r="AJ27" s="300"/>
      <c r="AK27" s="300"/>
      <c r="AL27" s="300"/>
      <c r="AM27" s="301"/>
      <c r="AN27" s="70"/>
      <c r="AO27" s="262"/>
      <c r="AP27" s="263"/>
      <c r="AQ27" s="263"/>
      <c r="AR27" s="263"/>
      <c r="AS27" s="263"/>
      <c r="AT27" s="26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39"/>
      <c r="C28" s="239"/>
      <c r="D28" s="240"/>
      <c r="E28" s="280"/>
      <c r="F28" s="281"/>
      <c r="G28" s="281"/>
      <c r="H28" s="281"/>
      <c r="I28" s="282"/>
      <c r="J28" s="308" t="str">
        <f>IF(AND('Mapa final'!$J$63="Media",'Mapa final'!$N$63="Leve"),CONCATENATE("R",'Mapa final'!$A$63),"")</f>
        <v/>
      </c>
      <c r="K28" s="309"/>
      <c r="L28" s="309" t="str">
        <f>IF(AND('Mapa final'!$J$70="Media",'Mapa final'!$N$70="Leve"),CONCATENATE("R",'Mapa final'!$A$70),"")</f>
        <v/>
      </c>
      <c r="M28" s="309"/>
      <c r="N28" s="309" t="str">
        <f>IF(AND('Mapa final'!$J$76="Media",'Mapa final'!$N$76="Leve"),CONCATENATE("R",'Mapa final'!$A$76),"")</f>
        <v/>
      </c>
      <c r="O28" s="310"/>
      <c r="P28" s="308" t="str">
        <f>IF(AND('Mapa final'!$J$63="Media",'Mapa final'!$N$63="Menor"),CONCATENATE("R",'Mapa final'!$A$63),"")</f>
        <v/>
      </c>
      <c r="Q28" s="309"/>
      <c r="R28" s="309" t="str">
        <f>IF(AND('Mapa final'!$J$70="Media",'Mapa final'!$N$70="Menor"),CONCATENATE("R",'Mapa final'!$A$70),"")</f>
        <v/>
      </c>
      <c r="S28" s="309"/>
      <c r="T28" s="309" t="str">
        <f>IF(AND('Mapa final'!$J$76="Media",'Mapa final'!$N$76="Menor"),CONCATENATE("R",'Mapa final'!$A$76),"")</f>
        <v/>
      </c>
      <c r="U28" s="310"/>
      <c r="V28" s="308" t="str">
        <f>IF(AND('Mapa final'!$J$63="Media",'Mapa final'!$N$63="Moderado"),CONCATENATE("R",'Mapa final'!$A$63),"")</f>
        <v/>
      </c>
      <c r="W28" s="309"/>
      <c r="X28" s="309" t="str">
        <f>IF(AND('Mapa final'!$J$70="Media",'Mapa final'!$N$70="Moderado"),CONCATENATE("R",'Mapa final'!$A$70),"")</f>
        <v/>
      </c>
      <c r="Y28" s="309"/>
      <c r="Z28" s="309" t="str">
        <f>IF(AND('Mapa final'!$J$76="Media",'Mapa final'!$N$76="Moderado"),CONCATENATE("R",'Mapa final'!$A$76),"")</f>
        <v/>
      </c>
      <c r="AA28" s="310"/>
      <c r="AB28" s="291" t="str">
        <f>IF(AND('Mapa final'!$J$63="Media",'Mapa final'!$N$63="Mayor"),CONCATENATE("R",'Mapa final'!$A$63),"")</f>
        <v/>
      </c>
      <c r="AC28" s="288"/>
      <c r="AD28" s="286" t="str">
        <f>IF(AND('Mapa final'!$J$70="Media",'Mapa final'!$N$70="Mayor"),CONCATENATE("R",'Mapa final'!$A$70),"")</f>
        <v/>
      </c>
      <c r="AE28" s="286"/>
      <c r="AF28" s="286" t="str">
        <f>IF(AND('Mapa final'!$J$76="Media",'Mapa final'!$N$76="Mayor"),CONCATENATE("R",'Mapa final'!$A$76),"")</f>
        <v/>
      </c>
      <c r="AG28" s="287"/>
      <c r="AH28" s="299" t="str">
        <f>IF(AND('Mapa final'!$J$63="Media",'Mapa final'!$N$63="Catastrófico"),CONCATENATE("R",'Mapa final'!$A$63),"")</f>
        <v/>
      </c>
      <c r="AI28" s="300"/>
      <c r="AJ28" s="300" t="str">
        <f>IF(AND('Mapa final'!$J$70="Media",'Mapa final'!$N$70="Catastrófico"),CONCATENATE("R",'Mapa final'!$A$70),"")</f>
        <v/>
      </c>
      <c r="AK28" s="300"/>
      <c r="AL28" s="300" t="str">
        <f>IF(AND('Mapa final'!$J$76="Media",'Mapa final'!$N$76="Catastrófico"),CONCATENATE("R",'Mapa final'!$A$76),"")</f>
        <v/>
      </c>
      <c r="AM28" s="301"/>
      <c r="AN28" s="70"/>
      <c r="AO28" s="262"/>
      <c r="AP28" s="263"/>
      <c r="AQ28" s="263"/>
      <c r="AR28" s="263"/>
      <c r="AS28" s="263"/>
      <c r="AT28" s="26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39"/>
      <c r="C29" s="239"/>
      <c r="D29" s="240"/>
      <c r="E29" s="283"/>
      <c r="F29" s="284"/>
      <c r="G29" s="284"/>
      <c r="H29" s="284"/>
      <c r="I29" s="285"/>
      <c r="J29" s="308"/>
      <c r="K29" s="309"/>
      <c r="L29" s="309"/>
      <c r="M29" s="309"/>
      <c r="N29" s="309"/>
      <c r="O29" s="310"/>
      <c r="P29" s="311"/>
      <c r="Q29" s="312"/>
      <c r="R29" s="312"/>
      <c r="S29" s="312"/>
      <c r="T29" s="312"/>
      <c r="U29" s="313"/>
      <c r="V29" s="311"/>
      <c r="W29" s="312"/>
      <c r="X29" s="312"/>
      <c r="Y29" s="312"/>
      <c r="Z29" s="312"/>
      <c r="AA29" s="313"/>
      <c r="AB29" s="296"/>
      <c r="AC29" s="297"/>
      <c r="AD29" s="297"/>
      <c r="AE29" s="297"/>
      <c r="AF29" s="297"/>
      <c r="AG29" s="298"/>
      <c r="AH29" s="302"/>
      <c r="AI29" s="303"/>
      <c r="AJ29" s="303"/>
      <c r="AK29" s="303"/>
      <c r="AL29" s="303"/>
      <c r="AM29" s="304"/>
      <c r="AN29" s="70"/>
      <c r="AO29" s="265"/>
      <c r="AP29" s="266"/>
      <c r="AQ29" s="266"/>
      <c r="AR29" s="266"/>
      <c r="AS29" s="266"/>
      <c r="AT29" s="26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39"/>
      <c r="C30" s="239"/>
      <c r="D30" s="240"/>
      <c r="E30" s="277" t="s">
        <v>110</v>
      </c>
      <c r="F30" s="278"/>
      <c r="G30" s="278"/>
      <c r="H30" s="278"/>
      <c r="I30" s="278"/>
      <c r="J30" s="323" t="str">
        <f>IF(AND('Mapa final'!$J$9="Baja",'Mapa final'!$N$9="Leve"),CONCATENATE("R",'Mapa final'!$A$9),"")</f>
        <v/>
      </c>
      <c r="K30" s="324"/>
      <c r="L30" s="324" t="str">
        <f>IF(AND('Mapa final'!$J$15="Baja",'Mapa final'!$N$15="Leve"),CONCATENATE("R",'Mapa final'!$A$15),"")</f>
        <v/>
      </c>
      <c r="M30" s="324"/>
      <c r="N30" s="324" t="str">
        <f>IF(AND('Mapa final'!$J$21="Baja",'Mapa final'!$N$21="Leve"),CONCATENATE("R",'Mapa final'!$A$21),"")</f>
        <v/>
      </c>
      <c r="O30" s="325"/>
      <c r="P30" s="315" t="str">
        <f>IF(AND('Mapa final'!$J$9="Baja",'Mapa final'!$N$9="Menor"),CONCATENATE("R",'Mapa final'!$A$9),"")</f>
        <v/>
      </c>
      <c r="Q30" s="315"/>
      <c r="R30" s="315" t="str">
        <f>IF(AND('Mapa final'!$J$15="Baja",'Mapa final'!$N$15="Menor"),CONCATENATE("R",'Mapa final'!$A$15),"")</f>
        <v/>
      </c>
      <c r="S30" s="315"/>
      <c r="T30" s="315" t="str">
        <f>IF(AND('Mapa final'!$J$21="Baja",'Mapa final'!$N$21="Menor"),CONCATENATE("R",'Mapa final'!$A$21),"")</f>
        <v/>
      </c>
      <c r="U30" s="316"/>
      <c r="V30" s="314" t="str">
        <f>IF(AND('Mapa final'!$J$9="Baja",'Mapa final'!$N$9="Moderado"),CONCATENATE("R",'Mapa final'!$A$9),"")</f>
        <v/>
      </c>
      <c r="W30" s="315"/>
      <c r="X30" s="315" t="str">
        <f>IF(AND('Mapa final'!$J$15="Baja",'Mapa final'!$N$15="Moderado"),CONCATENATE("R",'Mapa final'!$A$15),"")</f>
        <v/>
      </c>
      <c r="Y30" s="315"/>
      <c r="Z30" s="315" t="str">
        <f>IF(AND('Mapa final'!$J$21="Baja",'Mapa final'!$N$21="Moderado"),CONCATENATE("R",'Mapa final'!$A$21),"")</f>
        <v/>
      </c>
      <c r="AA30" s="316"/>
      <c r="AB30" s="289" t="str">
        <f>IF(AND('Mapa final'!$J$9="Baja",'Mapa final'!$N$9="Mayor"),CONCATENATE("R",'Mapa final'!$A$9),"")</f>
        <v/>
      </c>
      <c r="AC30" s="290"/>
      <c r="AD30" s="290" t="str">
        <f>IF(AND('Mapa final'!$J$15="Baja",'Mapa final'!$N$15="Mayor"),CONCATENATE("R",'Mapa final'!$A$15),"")</f>
        <v/>
      </c>
      <c r="AE30" s="290"/>
      <c r="AF30" s="290" t="str">
        <f>IF(AND('Mapa final'!$J$21="Baja",'Mapa final'!$N$21="Mayor"),CONCATENATE("R",'Mapa final'!$A$21),"")</f>
        <v/>
      </c>
      <c r="AG30" s="292"/>
      <c r="AH30" s="305" t="str">
        <f>IF(AND('Mapa final'!$J$9="Baja",'Mapa final'!$N$9="Catastrófico"),CONCATENATE("R",'Mapa final'!$A$9),"")</f>
        <v/>
      </c>
      <c r="AI30" s="306"/>
      <c r="AJ30" s="306" t="str">
        <f>IF(AND('Mapa final'!$J$15="Baja",'Mapa final'!$N$15="Catastrófico"),CONCATENATE("R",'Mapa final'!$A$15),"")</f>
        <v/>
      </c>
      <c r="AK30" s="306"/>
      <c r="AL30" s="306" t="str">
        <f>IF(AND('Mapa final'!$J$21="Baja",'Mapa final'!$N$21="Catastrófico"),CONCATENATE("R",'Mapa final'!$A$21),"")</f>
        <v/>
      </c>
      <c r="AM30" s="307"/>
      <c r="AN30" s="70"/>
      <c r="AO30" s="268" t="s">
        <v>78</v>
      </c>
      <c r="AP30" s="269"/>
      <c r="AQ30" s="269"/>
      <c r="AR30" s="269"/>
      <c r="AS30" s="269"/>
      <c r="AT30" s="2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39"/>
      <c r="C31" s="239"/>
      <c r="D31" s="240"/>
      <c r="E31" s="280"/>
      <c r="F31" s="281"/>
      <c r="G31" s="281"/>
      <c r="H31" s="281"/>
      <c r="I31" s="294"/>
      <c r="J31" s="319"/>
      <c r="K31" s="317"/>
      <c r="L31" s="317"/>
      <c r="M31" s="317"/>
      <c r="N31" s="317"/>
      <c r="O31" s="318"/>
      <c r="P31" s="309"/>
      <c r="Q31" s="309"/>
      <c r="R31" s="309"/>
      <c r="S31" s="309"/>
      <c r="T31" s="309"/>
      <c r="U31" s="310"/>
      <c r="V31" s="308"/>
      <c r="W31" s="309"/>
      <c r="X31" s="309"/>
      <c r="Y31" s="309"/>
      <c r="Z31" s="309"/>
      <c r="AA31" s="310"/>
      <c r="AB31" s="291"/>
      <c r="AC31" s="288"/>
      <c r="AD31" s="288"/>
      <c r="AE31" s="288"/>
      <c r="AF31" s="288"/>
      <c r="AG31" s="287"/>
      <c r="AH31" s="299"/>
      <c r="AI31" s="300"/>
      <c r="AJ31" s="300"/>
      <c r="AK31" s="300"/>
      <c r="AL31" s="300"/>
      <c r="AM31" s="301"/>
      <c r="AN31" s="70"/>
      <c r="AO31" s="271"/>
      <c r="AP31" s="272"/>
      <c r="AQ31" s="272"/>
      <c r="AR31" s="272"/>
      <c r="AS31" s="272"/>
      <c r="AT31" s="27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39"/>
      <c r="C32" s="239"/>
      <c r="D32" s="240"/>
      <c r="E32" s="280"/>
      <c r="F32" s="281"/>
      <c r="G32" s="281"/>
      <c r="H32" s="281"/>
      <c r="I32" s="294"/>
      <c r="J32" s="319" t="str">
        <f>IF(AND('Mapa final'!$J$27="Baja",'Mapa final'!$N$27="Leve"),CONCATENATE("R",'Mapa final'!$A$27),"")</f>
        <v/>
      </c>
      <c r="K32" s="317"/>
      <c r="L32" s="317" t="str">
        <f>IF(AND('Mapa final'!$J$33="Baja",'Mapa final'!$N$33="Leve"),CONCATENATE("R",'Mapa final'!$A$33),"")</f>
        <v/>
      </c>
      <c r="M32" s="317"/>
      <c r="N32" s="317" t="str">
        <f>IF(AND('Mapa final'!$J$39="Baja",'Mapa final'!$N$39="Leve"),CONCATENATE("R",'Mapa final'!$A$39),"")</f>
        <v/>
      </c>
      <c r="O32" s="318"/>
      <c r="P32" s="309" t="str">
        <f>IF(AND('Mapa final'!$J$27="Baja",'Mapa final'!$N$27="Menor"),CONCATENATE("R",'Mapa final'!$A$27),"")</f>
        <v/>
      </c>
      <c r="Q32" s="309"/>
      <c r="R32" s="309" t="str">
        <f>IF(AND('Mapa final'!$J$33="Baja",'Mapa final'!$N$33="Menor"),CONCATENATE("R",'Mapa final'!$A$33),"")</f>
        <v/>
      </c>
      <c r="S32" s="309"/>
      <c r="T32" s="309" t="str">
        <f>IF(AND('Mapa final'!$J$39="Baja",'Mapa final'!$N$39="Menor"),CONCATENATE("R",'Mapa final'!$A$39),"")</f>
        <v/>
      </c>
      <c r="U32" s="310"/>
      <c r="V32" s="308" t="str">
        <f>IF(AND('Mapa final'!$J$27="Baja",'Mapa final'!$N$27="Moderado"),CONCATENATE("R",'Mapa final'!$A$27),"")</f>
        <v/>
      </c>
      <c r="W32" s="309"/>
      <c r="X32" s="309" t="str">
        <f>IF(AND('Mapa final'!$J$33="Baja",'Mapa final'!$N$33="Moderado"),CONCATENATE("R",'Mapa final'!$A$33),"")</f>
        <v/>
      </c>
      <c r="Y32" s="309"/>
      <c r="Z32" s="309" t="str">
        <f>IF(AND('Mapa final'!$J$39="Baja",'Mapa final'!$N$39="Moderado"),CONCATENATE("R",'Mapa final'!$A$39),"")</f>
        <v/>
      </c>
      <c r="AA32" s="310"/>
      <c r="AB32" s="291" t="str">
        <f>IF(AND('Mapa final'!$J$27="Baja",'Mapa final'!$N$27="Mayor"),CONCATENATE("R",'Mapa final'!$A$27),"")</f>
        <v/>
      </c>
      <c r="AC32" s="288"/>
      <c r="AD32" s="286" t="str">
        <f>IF(AND('Mapa final'!$J$33="Baja",'Mapa final'!$N$33="Mayor"),CONCATENATE("R",'Mapa final'!$A$33),"")</f>
        <v/>
      </c>
      <c r="AE32" s="286"/>
      <c r="AF32" s="286" t="str">
        <f>IF(AND('Mapa final'!$J$39="Baja",'Mapa final'!$N$39="Mayor"),CONCATENATE("R",'Mapa final'!$A$39),"")</f>
        <v/>
      </c>
      <c r="AG32" s="287"/>
      <c r="AH32" s="299" t="str">
        <f>IF(AND('Mapa final'!$J$27="Baja",'Mapa final'!$N$27="Catastrófico"),CONCATENATE("R",'Mapa final'!$A$27),"")</f>
        <v/>
      </c>
      <c r="AI32" s="300"/>
      <c r="AJ32" s="300" t="str">
        <f>IF(AND('Mapa final'!$J$33="Baja",'Mapa final'!$N$33="Catastrófico"),CONCATENATE("R",'Mapa final'!$A$33),"")</f>
        <v/>
      </c>
      <c r="AK32" s="300"/>
      <c r="AL32" s="300" t="str">
        <f>IF(AND('Mapa final'!$J$39="Baja",'Mapa final'!$N$39="Catastrófico"),CONCATENATE("R",'Mapa final'!$A$39),"")</f>
        <v/>
      </c>
      <c r="AM32" s="301"/>
      <c r="AN32" s="70"/>
      <c r="AO32" s="271"/>
      <c r="AP32" s="272"/>
      <c r="AQ32" s="272"/>
      <c r="AR32" s="272"/>
      <c r="AS32" s="272"/>
      <c r="AT32" s="27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39"/>
      <c r="C33" s="239"/>
      <c r="D33" s="240"/>
      <c r="E33" s="280"/>
      <c r="F33" s="281"/>
      <c r="G33" s="281"/>
      <c r="H33" s="281"/>
      <c r="I33" s="294"/>
      <c r="J33" s="319"/>
      <c r="K33" s="317"/>
      <c r="L33" s="317"/>
      <c r="M33" s="317"/>
      <c r="N33" s="317"/>
      <c r="O33" s="318"/>
      <c r="P33" s="309"/>
      <c r="Q33" s="309"/>
      <c r="R33" s="309"/>
      <c r="S33" s="309"/>
      <c r="T33" s="309"/>
      <c r="U33" s="310"/>
      <c r="V33" s="308"/>
      <c r="W33" s="309"/>
      <c r="X33" s="309"/>
      <c r="Y33" s="309"/>
      <c r="Z33" s="309"/>
      <c r="AA33" s="310"/>
      <c r="AB33" s="291"/>
      <c r="AC33" s="288"/>
      <c r="AD33" s="286"/>
      <c r="AE33" s="286"/>
      <c r="AF33" s="286"/>
      <c r="AG33" s="287"/>
      <c r="AH33" s="299"/>
      <c r="AI33" s="300"/>
      <c r="AJ33" s="300"/>
      <c r="AK33" s="300"/>
      <c r="AL33" s="300"/>
      <c r="AM33" s="301"/>
      <c r="AN33" s="70"/>
      <c r="AO33" s="271"/>
      <c r="AP33" s="272"/>
      <c r="AQ33" s="272"/>
      <c r="AR33" s="272"/>
      <c r="AS33" s="272"/>
      <c r="AT33" s="27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39"/>
      <c r="C34" s="239"/>
      <c r="D34" s="240"/>
      <c r="E34" s="280"/>
      <c r="F34" s="281"/>
      <c r="G34" s="281"/>
      <c r="H34" s="281"/>
      <c r="I34" s="294"/>
      <c r="J34" s="319" t="str">
        <f>IF(AND('Mapa final'!$J$45="Baja",'Mapa final'!$N$45="Leve"),CONCATENATE("R",'Mapa final'!$A$45),"")</f>
        <v/>
      </c>
      <c r="K34" s="317"/>
      <c r="L34" s="317" t="str">
        <f>IF(AND('Mapa final'!$J$51="Baja",'Mapa final'!$N$51="Leve"),CONCATENATE("R",'Mapa final'!$A$51),"")</f>
        <v/>
      </c>
      <c r="M34" s="317"/>
      <c r="N34" s="317" t="str">
        <f>IF(AND('Mapa final'!$J$57="Baja",'Mapa final'!$N$57="Leve"),CONCATENATE("R",'Mapa final'!$A$57),"")</f>
        <v/>
      </c>
      <c r="O34" s="318"/>
      <c r="P34" s="309" t="str">
        <f>IF(AND('Mapa final'!$J$45="Baja",'Mapa final'!$N$45="Menor"),CONCATENATE("R",'Mapa final'!$A$45),"")</f>
        <v/>
      </c>
      <c r="Q34" s="309"/>
      <c r="R34" s="309" t="str">
        <f>IF(AND('Mapa final'!$J$51="Baja",'Mapa final'!$N$51="Menor"),CONCATENATE("R",'Mapa final'!$A$51),"")</f>
        <v/>
      </c>
      <c r="S34" s="309"/>
      <c r="T34" s="309" t="str">
        <f>IF(AND('Mapa final'!$J$57="Baja",'Mapa final'!$N$57="Menor"),CONCATENATE("R",'Mapa final'!$A$57),"")</f>
        <v/>
      </c>
      <c r="U34" s="310"/>
      <c r="V34" s="308" t="str">
        <f>IF(AND('Mapa final'!$J$45="Baja",'Mapa final'!$N$45="Moderado"),CONCATENATE("R",'Mapa final'!$A$45),"")</f>
        <v/>
      </c>
      <c r="W34" s="309"/>
      <c r="X34" s="309" t="str">
        <f>IF(AND('Mapa final'!$J$51="Baja",'Mapa final'!$N$51="Moderado"),CONCATENATE("R",'Mapa final'!$A$51),"")</f>
        <v/>
      </c>
      <c r="Y34" s="309"/>
      <c r="Z34" s="309" t="str">
        <f>IF(AND('Mapa final'!$J$57="Baja",'Mapa final'!$N$57="Moderado"),CONCATENATE("R",'Mapa final'!$A$57),"")</f>
        <v/>
      </c>
      <c r="AA34" s="310"/>
      <c r="AB34" s="291" t="str">
        <f>IF(AND('Mapa final'!$J$45="Baja",'Mapa final'!$N$45="Mayor"),CONCATENATE("R",'Mapa final'!$A$45),"")</f>
        <v/>
      </c>
      <c r="AC34" s="288"/>
      <c r="AD34" s="286" t="str">
        <f>IF(AND('Mapa final'!$J$51="Baja",'Mapa final'!$N$51="Mayor"),CONCATENATE("R",'Mapa final'!$A$51),"")</f>
        <v/>
      </c>
      <c r="AE34" s="286"/>
      <c r="AF34" s="286" t="str">
        <f>IF(AND('Mapa final'!$J$57="Baja",'Mapa final'!$N$57="Mayor"),CONCATENATE("R",'Mapa final'!$A$57),"")</f>
        <v/>
      </c>
      <c r="AG34" s="287"/>
      <c r="AH34" s="299" t="str">
        <f>IF(AND('Mapa final'!$J$45="Baja",'Mapa final'!$N$45="Catastrófico"),CONCATENATE("R",'Mapa final'!$A$45),"")</f>
        <v/>
      </c>
      <c r="AI34" s="300"/>
      <c r="AJ34" s="300" t="str">
        <f>IF(AND('Mapa final'!$J$51="Baja",'Mapa final'!$N$51="Catastrófico"),CONCATENATE("R",'Mapa final'!$A$51),"")</f>
        <v/>
      </c>
      <c r="AK34" s="300"/>
      <c r="AL34" s="300" t="str">
        <f>IF(AND('Mapa final'!$J$57="Baja",'Mapa final'!$N$57="Catastrófico"),CONCATENATE("R",'Mapa final'!$A$57),"")</f>
        <v/>
      </c>
      <c r="AM34" s="301"/>
      <c r="AN34" s="70"/>
      <c r="AO34" s="271"/>
      <c r="AP34" s="272"/>
      <c r="AQ34" s="272"/>
      <c r="AR34" s="272"/>
      <c r="AS34" s="272"/>
      <c r="AT34" s="27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39"/>
      <c r="C35" s="239"/>
      <c r="D35" s="240"/>
      <c r="E35" s="280"/>
      <c r="F35" s="281"/>
      <c r="G35" s="281"/>
      <c r="H35" s="281"/>
      <c r="I35" s="294"/>
      <c r="J35" s="319"/>
      <c r="K35" s="317"/>
      <c r="L35" s="317"/>
      <c r="M35" s="317"/>
      <c r="N35" s="317"/>
      <c r="O35" s="318"/>
      <c r="P35" s="309"/>
      <c r="Q35" s="309"/>
      <c r="R35" s="309"/>
      <c r="S35" s="309"/>
      <c r="T35" s="309"/>
      <c r="U35" s="310"/>
      <c r="V35" s="308"/>
      <c r="W35" s="309"/>
      <c r="X35" s="309"/>
      <c r="Y35" s="309"/>
      <c r="Z35" s="309"/>
      <c r="AA35" s="310"/>
      <c r="AB35" s="291"/>
      <c r="AC35" s="288"/>
      <c r="AD35" s="286"/>
      <c r="AE35" s="286"/>
      <c r="AF35" s="286"/>
      <c r="AG35" s="287"/>
      <c r="AH35" s="299"/>
      <c r="AI35" s="300"/>
      <c r="AJ35" s="300"/>
      <c r="AK35" s="300"/>
      <c r="AL35" s="300"/>
      <c r="AM35" s="301"/>
      <c r="AN35" s="70"/>
      <c r="AO35" s="271"/>
      <c r="AP35" s="272"/>
      <c r="AQ35" s="272"/>
      <c r="AR35" s="272"/>
      <c r="AS35" s="272"/>
      <c r="AT35" s="27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39"/>
      <c r="C36" s="239"/>
      <c r="D36" s="240"/>
      <c r="E36" s="280"/>
      <c r="F36" s="281"/>
      <c r="G36" s="281"/>
      <c r="H36" s="281"/>
      <c r="I36" s="294"/>
      <c r="J36" s="319" t="str">
        <f>IF(AND('Mapa final'!$J$63="Baja",'Mapa final'!$N$63="Leve"),CONCATENATE("R",'Mapa final'!$A$63),"")</f>
        <v/>
      </c>
      <c r="K36" s="317"/>
      <c r="L36" s="317" t="str">
        <f>IF(AND('Mapa final'!$J$70="Baja",'Mapa final'!$N$70="Leve"),CONCATENATE("R",'Mapa final'!$A$70),"")</f>
        <v/>
      </c>
      <c r="M36" s="317"/>
      <c r="N36" s="317" t="str">
        <f>IF(AND('Mapa final'!$J$76="Baja",'Mapa final'!$N$76="Leve"),CONCATENATE("R",'Mapa final'!$A$76),"")</f>
        <v/>
      </c>
      <c r="O36" s="318"/>
      <c r="P36" s="309" t="str">
        <f>IF(AND('Mapa final'!$J$63="Baja",'Mapa final'!$N$63="Menor"),CONCATENATE("R",'Mapa final'!$A$63),"")</f>
        <v/>
      </c>
      <c r="Q36" s="309"/>
      <c r="R36" s="309" t="str">
        <f>IF(AND('Mapa final'!$J$70="Baja",'Mapa final'!$N$70="Menor"),CONCATENATE("R",'Mapa final'!$A$70),"")</f>
        <v/>
      </c>
      <c r="S36" s="309"/>
      <c r="T36" s="309" t="str">
        <f>IF(AND('Mapa final'!$J$76="Baja",'Mapa final'!$N$76="Menor"),CONCATENATE("R",'Mapa final'!$A$76),"")</f>
        <v/>
      </c>
      <c r="U36" s="310"/>
      <c r="V36" s="308" t="str">
        <f>IF(AND('Mapa final'!$J$63="Baja",'Mapa final'!$N$63="Moderado"),CONCATENATE("R",'Mapa final'!$A$63),"")</f>
        <v/>
      </c>
      <c r="W36" s="309"/>
      <c r="X36" s="309" t="str">
        <f>IF(AND('Mapa final'!$J$70="Baja",'Mapa final'!$N$70="Moderado"),CONCATENATE("R",'Mapa final'!$A$70),"")</f>
        <v/>
      </c>
      <c r="Y36" s="309"/>
      <c r="Z36" s="309" t="str">
        <f>IF(AND('Mapa final'!$J$76="Baja",'Mapa final'!$N$76="Moderado"),CONCATENATE("R",'Mapa final'!$A$76),"")</f>
        <v/>
      </c>
      <c r="AA36" s="310"/>
      <c r="AB36" s="291" t="str">
        <f>IF(AND('Mapa final'!$J$63="Baja",'Mapa final'!$N$63="Mayor"),CONCATENATE("R",'Mapa final'!$A$63),"")</f>
        <v/>
      </c>
      <c r="AC36" s="288"/>
      <c r="AD36" s="286" t="str">
        <f>IF(AND('Mapa final'!$J$70="Baja",'Mapa final'!$N$70="Mayor"),CONCATENATE("R",'Mapa final'!$A$70),"")</f>
        <v/>
      </c>
      <c r="AE36" s="286"/>
      <c r="AF36" s="286" t="str">
        <f>IF(AND('Mapa final'!$J$76="Baja",'Mapa final'!$N$76="Mayor"),CONCATENATE("R",'Mapa final'!$A$76),"")</f>
        <v/>
      </c>
      <c r="AG36" s="287"/>
      <c r="AH36" s="299" t="str">
        <f>IF(AND('Mapa final'!$J$63="Baja",'Mapa final'!$N$63="Catastrófico"),CONCATENATE("R",'Mapa final'!$A$63),"")</f>
        <v/>
      </c>
      <c r="AI36" s="300"/>
      <c r="AJ36" s="300" t="str">
        <f>IF(AND('Mapa final'!$J$70="Baja",'Mapa final'!$N$70="Catastrófico"),CONCATENATE("R",'Mapa final'!$A$70),"")</f>
        <v/>
      </c>
      <c r="AK36" s="300"/>
      <c r="AL36" s="300" t="str">
        <f>IF(AND('Mapa final'!$J$76="Baja",'Mapa final'!$N$76="Catastrófico"),CONCATENATE("R",'Mapa final'!$A$76),"")</f>
        <v/>
      </c>
      <c r="AM36" s="301"/>
      <c r="AN36" s="70"/>
      <c r="AO36" s="271"/>
      <c r="AP36" s="272"/>
      <c r="AQ36" s="272"/>
      <c r="AR36" s="272"/>
      <c r="AS36" s="272"/>
      <c r="AT36" s="27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39"/>
      <c r="C37" s="239"/>
      <c r="D37" s="240"/>
      <c r="E37" s="283"/>
      <c r="F37" s="284"/>
      <c r="G37" s="284"/>
      <c r="H37" s="284"/>
      <c r="I37" s="284"/>
      <c r="J37" s="320"/>
      <c r="K37" s="321"/>
      <c r="L37" s="321"/>
      <c r="M37" s="321"/>
      <c r="N37" s="321"/>
      <c r="O37" s="322"/>
      <c r="P37" s="312"/>
      <c r="Q37" s="312"/>
      <c r="R37" s="312"/>
      <c r="S37" s="312"/>
      <c r="T37" s="312"/>
      <c r="U37" s="313"/>
      <c r="V37" s="311"/>
      <c r="W37" s="312"/>
      <c r="X37" s="312"/>
      <c r="Y37" s="312"/>
      <c r="Z37" s="312"/>
      <c r="AA37" s="313"/>
      <c r="AB37" s="296"/>
      <c r="AC37" s="297"/>
      <c r="AD37" s="297"/>
      <c r="AE37" s="297"/>
      <c r="AF37" s="297"/>
      <c r="AG37" s="298"/>
      <c r="AH37" s="302"/>
      <c r="AI37" s="303"/>
      <c r="AJ37" s="303"/>
      <c r="AK37" s="303"/>
      <c r="AL37" s="303"/>
      <c r="AM37" s="304"/>
      <c r="AN37" s="70"/>
      <c r="AO37" s="274"/>
      <c r="AP37" s="275"/>
      <c r="AQ37" s="275"/>
      <c r="AR37" s="275"/>
      <c r="AS37" s="275"/>
      <c r="AT37" s="27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39"/>
      <c r="C38" s="239"/>
      <c r="D38" s="240"/>
      <c r="E38" s="277" t="s">
        <v>109</v>
      </c>
      <c r="F38" s="278"/>
      <c r="G38" s="278"/>
      <c r="H38" s="278"/>
      <c r="I38" s="279"/>
      <c r="J38" s="323" t="str">
        <f>IF(AND('Mapa final'!$J$9="Muy Baja",'Mapa final'!$N$9="Leve"),CONCATENATE("R",'Mapa final'!$A$9),"")</f>
        <v/>
      </c>
      <c r="K38" s="324"/>
      <c r="L38" s="324" t="str">
        <f>IF(AND('Mapa final'!$J$15="Muy Baja",'Mapa final'!$N$15="Leve"),CONCATENATE("R",'Mapa final'!$A$15),"")</f>
        <v/>
      </c>
      <c r="M38" s="324"/>
      <c r="N38" s="324" t="str">
        <f>IF(AND('Mapa final'!$J$21="Muy Baja",'Mapa final'!$N$21="Leve"),CONCATENATE("R",'Mapa final'!$A$21),"")</f>
        <v/>
      </c>
      <c r="O38" s="325"/>
      <c r="P38" s="323" t="str">
        <f>IF(AND('Mapa final'!$J$9="Muy Baja",'Mapa final'!$N$9="Menor"),CONCATENATE("R",'Mapa final'!$A$9),"")</f>
        <v/>
      </c>
      <c r="Q38" s="324"/>
      <c r="R38" s="324" t="str">
        <f>IF(AND('Mapa final'!$J$15="Muy Baja",'Mapa final'!$N$15="Menor"),CONCATENATE("R",'Mapa final'!$A$15),"")</f>
        <v/>
      </c>
      <c r="S38" s="324"/>
      <c r="T38" s="324" t="str">
        <f>IF(AND('Mapa final'!$J$21="Muy Baja",'Mapa final'!$N$21="Menor"),CONCATENATE("R",'Mapa final'!$A$21),"")</f>
        <v/>
      </c>
      <c r="U38" s="325"/>
      <c r="V38" s="314" t="str">
        <f>IF(AND('Mapa final'!$J$9="Muy Baja",'Mapa final'!$N$9="Moderado"),CONCATENATE("R",'Mapa final'!$A$9),"")</f>
        <v/>
      </c>
      <c r="W38" s="315"/>
      <c r="X38" s="315" t="str">
        <f>IF(AND('Mapa final'!$J$15="Muy Baja",'Mapa final'!$N$15="Moderado"),CONCATENATE("R",'Mapa final'!$A$15),"")</f>
        <v/>
      </c>
      <c r="Y38" s="315"/>
      <c r="Z38" s="315" t="str">
        <f>IF(AND('Mapa final'!$J$21="Muy Baja",'Mapa final'!$N$21="Moderado"),CONCATENATE("R",'Mapa final'!$A$21),"")</f>
        <v/>
      </c>
      <c r="AA38" s="316"/>
      <c r="AB38" s="289" t="str">
        <f>IF(AND('Mapa final'!$J$9="Muy Baja",'Mapa final'!$N$9="Mayor"),CONCATENATE("R",'Mapa final'!$A$9),"")</f>
        <v/>
      </c>
      <c r="AC38" s="290"/>
      <c r="AD38" s="290" t="str">
        <f>IF(AND('Mapa final'!$J$15="Muy Baja",'Mapa final'!$N$15="Mayor"),CONCATENATE("R",'Mapa final'!$A$15),"")</f>
        <v/>
      </c>
      <c r="AE38" s="290"/>
      <c r="AF38" s="290" t="str">
        <f>IF(AND('Mapa final'!$J$21="Muy Baja",'Mapa final'!$N$21="Mayor"),CONCATENATE("R",'Mapa final'!$A$21),"")</f>
        <v/>
      </c>
      <c r="AG38" s="292"/>
      <c r="AH38" s="305" t="str">
        <f>IF(AND('Mapa final'!$J$9="Muy Baja",'Mapa final'!$N$9="Catastrófico"),CONCATENATE("R",'Mapa final'!$A$9),"")</f>
        <v/>
      </c>
      <c r="AI38" s="306"/>
      <c r="AJ38" s="306" t="str">
        <f>IF(AND('Mapa final'!$J$15="Muy Baja",'Mapa final'!$N$15="Catastrófico"),CONCATENATE("R",'Mapa final'!$A$15),"")</f>
        <v/>
      </c>
      <c r="AK38" s="306"/>
      <c r="AL38" s="306" t="str">
        <f>IF(AND('Mapa final'!$J$21="Muy Baja",'Mapa final'!$N$21="Catastrófico"),CONCATENATE("R",'Mapa final'!$A$21),"")</f>
        <v/>
      </c>
      <c r="AM38" s="30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39"/>
      <c r="C39" s="239"/>
      <c r="D39" s="240"/>
      <c r="E39" s="280"/>
      <c r="F39" s="281"/>
      <c r="G39" s="281"/>
      <c r="H39" s="281"/>
      <c r="I39" s="282"/>
      <c r="J39" s="319"/>
      <c r="K39" s="317"/>
      <c r="L39" s="317"/>
      <c r="M39" s="317"/>
      <c r="N39" s="317"/>
      <c r="O39" s="318"/>
      <c r="P39" s="319"/>
      <c r="Q39" s="317"/>
      <c r="R39" s="317"/>
      <c r="S39" s="317"/>
      <c r="T39" s="317"/>
      <c r="U39" s="318"/>
      <c r="V39" s="308"/>
      <c r="W39" s="309"/>
      <c r="X39" s="309"/>
      <c r="Y39" s="309"/>
      <c r="Z39" s="309"/>
      <c r="AA39" s="310"/>
      <c r="AB39" s="291"/>
      <c r="AC39" s="288"/>
      <c r="AD39" s="288"/>
      <c r="AE39" s="288"/>
      <c r="AF39" s="288"/>
      <c r="AG39" s="287"/>
      <c r="AH39" s="299"/>
      <c r="AI39" s="300"/>
      <c r="AJ39" s="300"/>
      <c r="AK39" s="300"/>
      <c r="AL39" s="300"/>
      <c r="AM39" s="30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39"/>
      <c r="C40" s="239"/>
      <c r="D40" s="240"/>
      <c r="E40" s="280"/>
      <c r="F40" s="281"/>
      <c r="G40" s="281"/>
      <c r="H40" s="281"/>
      <c r="I40" s="282"/>
      <c r="J40" s="319" t="str">
        <f>IF(AND('Mapa final'!$J$27="Muy Baja",'Mapa final'!$N$27="Leve"),CONCATENATE("R",'Mapa final'!$A$27),"")</f>
        <v/>
      </c>
      <c r="K40" s="317"/>
      <c r="L40" s="317" t="str">
        <f>IF(AND('Mapa final'!$J$33="Muy Baja",'Mapa final'!$N$33="Leve"),CONCATENATE("R",'Mapa final'!$A$33),"")</f>
        <v/>
      </c>
      <c r="M40" s="317"/>
      <c r="N40" s="317" t="str">
        <f>IF(AND('Mapa final'!$J$39="Muy Baja",'Mapa final'!$N$39="Leve"),CONCATENATE("R",'Mapa final'!$A$39),"")</f>
        <v/>
      </c>
      <c r="O40" s="318"/>
      <c r="P40" s="319" t="str">
        <f>IF(AND('Mapa final'!$J$27="Muy Baja",'Mapa final'!$N$27="Menor"),CONCATENATE("R",'Mapa final'!$A$27),"")</f>
        <v/>
      </c>
      <c r="Q40" s="317"/>
      <c r="R40" s="317" t="str">
        <f>IF(AND('Mapa final'!$J$33="Muy Baja",'Mapa final'!$N$33="Menor"),CONCATENATE("R",'Mapa final'!$A$33),"")</f>
        <v/>
      </c>
      <c r="S40" s="317"/>
      <c r="T40" s="317" t="str">
        <f>IF(AND('Mapa final'!$J$39="Muy Baja",'Mapa final'!$N$39="Menor"),CONCATENATE("R",'Mapa final'!$A$39),"")</f>
        <v/>
      </c>
      <c r="U40" s="318"/>
      <c r="V40" s="308" t="str">
        <f>IF(AND('Mapa final'!$J$27="Muy Baja",'Mapa final'!$N$27="Moderado"),CONCATENATE("R",'Mapa final'!$A$27),"")</f>
        <v/>
      </c>
      <c r="W40" s="309"/>
      <c r="X40" s="309" t="str">
        <f>IF(AND('Mapa final'!$J$33="Muy Baja",'Mapa final'!$N$33="Moderado"),CONCATENATE("R",'Mapa final'!$A$33),"")</f>
        <v/>
      </c>
      <c r="Y40" s="309"/>
      <c r="Z40" s="309" t="str">
        <f>IF(AND('Mapa final'!$J$39="Muy Baja",'Mapa final'!$N$39="Moderado"),CONCATENATE("R",'Mapa final'!$A$39),"")</f>
        <v/>
      </c>
      <c r="AA40" s="310"/>
      <c r="AB40" s="291" t="str">
        <f>IF(AND('Mapa final'!$J$27="Muy Baja",'Mapa final'!$N$27="Mayor"),CONCATENATE("R",'Mapa final'!$A$27),"")</f>
        <v/>
      </c>
      <c r="AC40" s="288"/>
      <c r="AD40" s="286" t="str">
        <f>IF(AND('Mapa final'!$J$33="Muy Baja",'Mapa final'!$N$33="Mayor"),CONCATENATE("R",'Mapa final'!$A$33),"")</f>
        <v/>
      </c>
      <c r="AE40" s="286"/>
      <c r="AF40" s="286" t="str">
        <f>IF(AND('Mapa final'!$J$39="Muy Baja",'Mapa final'!$N$39="Mayor"),CONCATENATE("R",'Mapa final'!$A$39),"")</f>
        <v/>
      </c>
      <c r="AG40" s="287"/>
      <c r="AH40" s="299" t="str">
        <f>IF(AND('Mapa final'!$J$27="Muy Baja",'Mapa final'!$N$27="Catastrófico"),CONCATENATE("R",'Mapa final'!$A$27),"")</f>
        <v/>
      </c>
      <c r="AI40" s="300"/>
      <c r="AJ40" s="300" t="str">
        <f>IF(AND('Mapa final'!$J$33="Muy Baja",'Mapa final'!$N$33="Catastrófico"),CONCATENATE("R",'Mapa final'!$A$33),"")</f>
        <v/>
      </c>
      <c r="AK40" s="300"/>
      <c r="AL40" s="300" t="str">
        <f>IF(AND('Mapa final'!$J$39="Muy Baja",'Mapa final'!$N$39="Catastrófico"),CONCATENATE("R",'Mapa final'!$A$39),"")</f>
        <v/>
      </c>
      <c r="AM40" s="30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39"/>
      <c r="C41" s="239"/>
      <c r="D41" s="240"/>
      <c r="E41" s="280"/>
      <c r="F41" s="281"/>
      <c r="G41" s="281"/>
      <c r="H41" s="281"/>
      <c r="I41" s="282"/>
      <c r="J41" s="319"/>
      <c r="K41" s="317"/>
      <c r="L41" s="317"/>
      <c r="M41" s="317"/>
      <c r="N41" s="317"/>
      <c r="O41" s="318"/>
      <c r="P41" s="319"/>
      <c r="Q41" s="317"/>
      <c r="R41" s="317"/>
      <c r="S41" s="317"/>
      <c r="T41" s="317"/>
      <c r="U41" s="318"/>
      <c r="V41" s="308"/>
      <c r="W41" s="309"/>
      <c r="X41" s="309"/>
      <c r="Y41" s="309"/>
      <c r="Z41" s="309"/>
      <c r="AA41" s="310"/>
      <c r="AB41" s="291"/>
      <c r="AC41" s="288"/>
      <c r="AD41" s="286"/>
      <c r="AE41" s="286"/>
      <c r="AF41" s="286"/>
      <c r="AG41" s="287"/>
      <c r="AH41" s="299"/>
      <c r="AI41" s="300"/>
      <c r="AJ41" s="300"/>
      <c r="AK41" s="300"/>
      <c r="AL41" s="300"/>
      <c r="AM41" s="30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39"/>
      <c r="C42" s="239"/>
      <c r="D42" s="240"/>
      <c r="E42" s="280"/>
      <c r="F42" s="281"/>
      <c r="G42" s="281"/>
      <c r="H42" s="281"/>
      <c r="I42" s="282"/>
      <c r="J42" s="319" t="str">
        <f>IF(AND('Mapa final'!$J$45="Muy Baja",'Mapa final'!$N$45="Leve"),CONCATENATE("R",'Mapa final'!$A$45),"")</f>
        <v/>
      </c>
      <c r="K42" s="317"/>
      <c r="L42" s="317" t="str">
        <f>IF(AND('Mapa final'!$J$51="Muy Baja",'Mapa final'!$N$51="Leve"),CONCATENATE("R",'Mapa final'!$A$51),"")</f>
        <v/>
      </c>
      <c r="M42" s="317"/>
      <c r="N42" s="317" t="str">
        <f>IF(AND('Mapa final'!$J$57="Muy Baja",'Mapa final'!$N$57="Leve"),CONCATENATE("R",'Mapa final'!$A$57),"")</f>
        <v/>
      </c>
      <c r="O42" s="318"/>
      <c r="P42" s="319" t="str">
        <f>IF(AND('Mapa final'!$J$45="Muy Baja",'Mapa final'!$N$45="Menor"),CONCATENATE("R",'Mapa final'!$A$45),"")</f>
        <v/>
      </c>
      <c r="Q42" s="317"/>
      <c r="R42" s="317" t="str">
        <f>IF(AND('Mapa final'!$J$51="Muy Baja",'Mapa final'!$N$51="Menor"),CONCATENATE("R",'Mapa final'!$A$51),"")</f>
        <v/>
      </c>
      <c r="S42" s="317"/>
      <c r="T42" s="317" t="str">
        <f>IF(AND('Mapa final'!$J$57="Muy Baja",'Mapa final'!$N$57="Menor"),CONCATENATE("R",'Mapa final'!$A$57),"")</f>
        <v/>
      </c>
      <c r="U42" s="318"/>
      <c r="V42" s="308" t="str">
        <f>IF(AND('Mapa final'!$J$45="Muy Baja",'Mapa final'!$N$45="Moderado"),CONCATENATE("R",'Mapa final'!$A$45),"")</f>
        <v/>
      </c>
      <c r="W42" s="309"/>
      <c r="X42" s="309" t="str">
        <f>IF(AND('Mapa final'!$J$51="Muy Baja",'Mapa final'!$N$51="Moderado"),CONCATENATE("R",'Mapa final'!$A$51),"")</f>
        <v/>
      </c>
      <c r="Y42" s="309"/>
      <c r="Z42" s="309" t="str">
        <f>IF(AND('Mapa final'!$J$57="Muy Baja",'Mapa final'!$N$57="Moderado"),CONCATENATE("R",'Mapa final'!$A$57),"")</f>
        <v/>
      </c>
      <c r="AA42" s="310"/>
      <c r="AB42" s="291" t="str">
        <f>IF(AND('Mapa final'!$J$45="Muy Baja",'Mapa final'!$N$45="Mayor"),CONCATENATE("R",'Mapa final'!$A$45),"")</f>
        <v/>
      </c>
      <c r="AC42" s="288"/>
      <c r="AD42" s="286" t="str">
        <f>IF(AND('Mapa final'!$J$51="Muy Baja",'Mapa final'!$N$51="Mayor"),CONCATENATE("R",'Mapa final'!$A$51),"")</f>
        <v/>
      </c>
      <c r="AE42" s="286"/>
      <c r="AF42" s="286" t="str">
        <f>IF(AND('Mapa final'!$J$57="Muy Baja",'Mapa final'!$N$57="Mayor"),CONCATENATE("R",'Mapa final'!$A$57),"")</f>
        <v/>
      </c>
      <c r="AG42" s="287"/>
      <c r="AH42" s="299" t="str">
        <f>IF(AND('Mapa final'!$J$45="Muy Baja",'Mapa final'!$N$45="Catastrófico"),CONCATENATE("R",'Mapa final'!$A$45),"")</f>
        <v/>
      </c>
      <c r="AI42" s="300"/>
      <c r="AJ42" s="300" t="str">
        <f>IF(AND('Mapa final'!$J$51="Muy Baja",'Mapa final'!$N$51="Catastrófico"),CONCATENATE("R",'Mapa final'!$A$51),"")</f>
        <v/>
      </c>
      <c r="AK42" s="300"/>
      <c r="AL42" s="300" t="str">
        <f>IF(AND('Mapa final'!$J$57="Muy Baja",'Mapa final'!$N$57="Catastrófico"),CONCATENATE("R",'Mapa final'!$A$57),"")</f>
        <v/>
      </c>
      <c r="AM42" s="30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39"/>
      <c r="C43" s="239"/>
      <c r="D43" s="240"/>
      <c r="E43" s="280"/>
      <c r="F43" s="281"/>
      <c r="G43" s="281"/>
      <c r="H43" s="281"/>
      <c r="I43" s="282"/>
      <c r="J43" s="319"/>
      <c r="K43" s="317"/>
      <c r="L43" s="317"/>
      <c r="M43" s="317"/>
      <c r="N43" s="317"/>
      <c r="O43" s="318"/>
      <c r="P43" s="319"/>
      <c r="Q43" s="317"/>
      <c r="R43" s="317"/>
      <c r="S43" s="317"/>
      <c r="T43" s="317"/>
      <c r="U43" s="318"/>
      <c r="V43" s="308"/>
      <c r="W43" s="309"/>
      <c r="X43" s="309"/>
      <c r="Y43" s="309"/>
      <c r="Z43" s="309"/>
      <c r="AA43" s="310"/>
      <c r="AB43" s="291"/>
      <c r="AC43" s="288"/>
      <c r="AD43" s="286"/>
      <c r="AE43" s="286"/>
      <c r="AF43" s="286"/>
      <c r="AG43" s="287"/>
      <c r="AH43" s="299"/>
      <c r="AI43" s="300"/>
      <c r="AJ43" s="300"/>
      <c r="AK43" s="300"/>
      <c r="AL43" s="300"/>
      <c r="AM43" s="30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39"/>
      <c r="C44" s="239"/>
      <c r="D44" s="240"/>
      <c r="E44" s="280"/>
      <c r="F44" s="281"/>
      <c r="G44" s="281"/>
      <c r="H44" s="281"/>
      <c r="I44" s="282"/>
      <c r="J44" s="319" t="str">
        <f>IF(AND('Mapa final'!$J$63="Muy Baja",'Mapa final'!$N$63="Leve"),CONCATENATE("R",'Mapa final'!$A$63),"")</f>
        <v/>
      </c>
      <c r="K44" s="317"/>
      <c r="L44" s="317" t="str">
        <f>IF(AND('Mapa final'!$J$70="Muy Baja",'Mapa final'!$N$70="Leve"),CONCATENATE("R",'Mapa final'!$A$70),"")</f>
        <v/>
      </c>
      <c r="M44" s="317"/>
      <c r="N44" s="317" t="str">
        <f>IF(AND('Mapa final'!$J$76="Muy Baja",'Mapa final'!$N$76="Leve"),CONCATENATE("R",'Mapa final'!$A$76),"")</f>
        <v/>
      </c>
      <c r="O44" s="318"/>
      <c r="P44" s="319" t="str">
        <f>IF(AND('Mapa final'!$J$63="Muy Baja",'Mapa final'!$N$63="Menor"),CONCATENATE("R",'Mapa final'!$A$63),"")</f>
        <v/>
      </c>
      <c r="Q44" s="317"/>
      <c r="R44" s="317" t="str">
        <f>IF(AND('Mapa final'!$J$70="Muy Baja",'Mapa final'!$N$70="Menor"),CONCATENATE("R",'Mapa final'!$A$70),"")</f>
        <v/>
      </c>
      <c r="S44" s="317"/>
      <c r="T44" s="317" t="str">
        <f>IF(AND('Mapa final'!$J$76="Muy Baja",'Mapa final'!$N$76="Menor"),CONCATENATE("R",'Mapa final'!$A$76),"")</f>
        <v/>
      </c>
      <c r="U44" s="318"/>
      <c r="V44" s="308" t="str">
        <f>IF(AND('Mapa final'!$J$63="Muy Baja",'Mapa final'!$N$63="Moderado"),CONCATENATE("R",'Mapa final'!$A$63),"")</f>
        <v/>
      </c>
      <c r="W44" s="309"/>
      <c r="X44" s="309" t="str">
        <f>IF(AND('Mapa final'!$J$70="Muy Baja",'Mapa final'!$N$70="Moderado"),CONCATENATE("R",'Mapa final'!$A$70),"")</f>
        <v/>
      </c>
      <c r="Y44" s="309"/>
      <c r="Z44" s="309" t="str">
        <f>IF(AND('Mapa final'!$J$76="Muy Baja",'Mapa final'!$N$76="Moderado"),CONCATENATE("R",'Mapa final'!$A$76),"")</f>
        <v/>
      </c>
      <c r="AA44" s="310"/>
      <c r="AB44" s="291" t="str">
        <f>IF(AND('Mapa final'!$J$63="Muy Baja",'Mapa final'!$N$63="Mayor"),CONCATENATE("R",'Mapa final'!$A$63),"")</f>
        <v/>
      </c>
      <c r="AC44" s="288"/>
      <c r="AD44" s="286" t="str">
        <f>IF(AND('Mapa final'!$J$70="Muy Baja",'Mapa final'!$N$70="Mayor"),CONCATENATE("R",'Mapa final'!$A$70),"")</f>
        <v/>
      </c>
      <c r="AE44" s="286"/>
      <c r="AF44" s="286" t="str">
        <f>IF(AND('Mapa final'!$J$76="Muy Baja",'Mapa final'!$N$76="Mayor"),CONCATENATE("R",'Mapa final'!$A$76),"")</f>
        <v/>
      </c>
      <c r="AG44" s="287"/>
      <c r="AH44" s="299" t="str">
        <f>IF(AND('Mapa final'!$J$63="Muy Baja",'Mapa final'!$N$63="Catastrófico"),CONCATENATE("R",'Mapa final'!$A$63),"")</f>
        <v/>
      </c>
      <c r="AI44" s="300"/>
      <c r="AJ44" s="300" t="str">
        <f>IF(AND('Mapa final'!$J$70="Muy Baja",'Mapa final'!$N$70="Catastrófico"),CONCATENATE("R",'Mapa final'!$A$70),"")</f>
        <v/>
      </c>
      <c r="AK44" s="300"/>
      <c r="AL44" s="300" t="str">
        <f>IF(AND('Mapa final'!$J$76="Muy Baja",'Mapa final'!$N$76="Catastrófico"),CONCATENATE("R",'Mapa final'!$A$76),"")</f>
        <v/>
      </c>
      <c r="AM44" s="30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39"/>
      <c r="C45" s="239"/>
      <c r="D45" s="240"/>
      <c r="E45" s="283"/>
      <c r="F45" s="284"/>
      <c r="G45" s="284"/>
      <c r="H45" s="284"/>
      <c r="I45" s="285"/>
      <c r="J45" s="320"/>
      <c r="K45" s="321"/>
      <c r="L45" s="321"/>
      <c r="M45" s="321"/>
      <c r="N45" s="321"/>
      <c r="O45" s="322"/>
      <c r="P45" s="320"/>
      <c r="Q45" s="321"/>
      <c r="R45" s="321"/>
      <c r="S45" s="321"/>
      <c r="T45" s="321"/>
      <c r="U45" s="322"/>
      <c r="V45" s="311"/>
      <c r="W45" s="312"/>
      <c r="X45" s="312"/>
      <c r="Y45" s="312"/>
      <c r="Z45" s="312"/>
      <c r="AA45" s="313"/>
      <c r="AB45" s="296"/>
      <c r="AC45" s="297"/>
      <c r="AD45" s="297"/>
      <c r="AE45" s="297"/>
      <c r="AF45" s="297"/>
      <c r="AG45" s="298"/>
      <c r="AH45" s="302"/>
      <c r="AI45" s="303"/>
      <c r="AJ45" s="303"/>
      <c r="AK45" s="303"/>
      <c r="AL45" s="303"/>
      <c r="AM45" s="30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7" t="s">
        <v>108</v>
      </c>
      <c r="K46" s="278"/>
      <c r="L46" s="278"/>
      <c r="M46" s="278"/>
      <c r="N46" s="278"/>
      <c r="O46" s="279"/>
      <c r="P46" s="277" t="s">
        <v>107</v>
      </c>
      <c r="Q46" s="278"/>
      <c r="R46" s="278"/>
      <c r="S46" s="278"/>
      <c r="T46" s="278"/>
      <c r="U46" s="279"/>
      <c r="V46" s="277" t="s">
        <v>106</v>
      </c>
      <c r="W46" s="278"/>
      <c r="X46" s="278"/>
      <c r="Y46" s="278"/>
      <c r="Z46" s="278"/>
      <c r="AA46" s="279"/>
      <c r="AB46" s="277" t="s">
        <v>105</v>
      </c>
      <c r="AC46" s="295"/>
      <c r="AD46" s="278"/>
      <c r="AE46" s="278"/>
      <c r="AF46" s="278"/>
      <c r="AG46" s="279"/>
      <c r="AH46" s="277" t="s">
        <v>104</v>
      </c>
      <c r="AI46" s="278"/>
      <c r="AJ46" s="278"/>
      <c r="AK46" s="278"/>
      <c r="AL46" s="278"/>
      <c r="AM46" s="279"/>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80"/>
      <c r="K47" s="281"/>
      <c r="L47" s="281"/>
      <c r="M47" s="281"/>
      <c r="N47" s="281"/>
      <c r="O47" s="282"/>
      <c r="P47" s="280"/>
      <c r="Q47" s="281"/>
      <c r="R47" s="281"/>
      <c r="S47" s="281"/>
      <c r="T47" s="281"/>
      <c r="U47" s="282"/>
      <c r="V47" s="280"/>
      <c r="W47" s="281"/>
      <c r="X47" s="281"/>
      <c r="Y47" s="281"/>
      <c r="Z47" s="281"/>
      <c r="AA47" s="282"/>
      <c r="AB47" s="280"/>
      <c r="AC47" s="281"/>
      <c r="AD47" s="281"/>
      <c r="AE47" s="281"/>
      <c r="AF47" s="281"/>
      <c r="AG47" s="282"/>
      <c r="AH47" s="280"/>
      <c r="AI47" s="281"/>
      <c r="AJ47" s="281"/>
      <c r="AK47" s="281"/>
      <c r="AL47" s="281"/>
      <c r="AM47" s="282"/>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80"/>
      <c r="K48" s="281"/>
      <c r="L48" s="281"/>
      <c r="M48" s="281"/>
      <c r="N48" s="281"/>
      <c r="O48" s="282"/>
      <c r="P48" s="280"/>
      <c r="Q48" s="281"/>
      <c r="R48" s="281"/>
      <c r="S48" s="281"/>
      <c r="T48" s="281"/>
      <c r="U48" s="282"/>
      <c r="V48" s="280"/>
      <c r="W48" s="281"/>
      <c r="X48" s="281"/>
      <c r="Y48" s="281"/>
      <c r="Z48" s="281"/>
      <c r="AA48" s="282"/>
      <c r="AB48" s="280"/>
      <c r="AC48" s="281"/>
      <c r="AD48" s="281"/>
      <c r="AE48" s="281"/>
      <c r="AF48" s="281"/>
      <c r="AG48" s="282"/>
      <c r="AH48" s="280"/>
      <c r="AI48" s="281"/>
      <c r="AJ48" s="281"/>
      <c r="AK48" s="281"/>
      <c r="AL48" s="281"/>
      <c r="AM48" s="282"/>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80"/>
      <c r="K49" s="281"/>
      <c r="L49" s="281"/>
      <c r="M49" s="281"/>
      <c r="N49" s="281"/>
      <c r="O49" s="282"/>
      <c r="P49" s="280"/>
      <c r="Q49" s="281"/>
      <c r="R49" s="281"/>
      <c r="S49" s="281"/>
      <c r="T49" s="281"/>
      <c r="U49" s="282"/>
      <c r="V49" s="280"/>
      <c r="W49" s="281"/>
      <c r="X49" s="281"/>
      <c r="Y49" s="281"/>
      <c r="Z49" s="281"/>
      <c r="AA49" s="282"/>
      <c r="AB49" s="280"/>
      <c r="AC49" s="281"/>
      <c r="AD49" s="281"/>
      <c r="AE49" s="281"/>
      <c r="AF49" s="281"/>
      <c r="AG49" s="282"/>
      <c r="AH49" s="280"/>
      <c r="AI49" s="281"/>
      <c r="AJ49" s="281"/>
      <c r="AK49" s="281"/>
      <c r="AL49" s="281"/>
      <c r="AM49" s="282"/>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80"/>
      <c r="K50" s="281"/>
      <c r="L50" s="281"/>
      <c r="M50" s="281"/>
      <c r="N50" s="281"/>
      <c r="O50" s="282"/>
      <c r="P50" s="280"/>
      <c r="Q50" s="281"/>
      <c r="R50" s="281"/>
      <c r="S50" s="281"/>
      <c r="T50" s="281"/>
      <c r="U50" s="282"/>
      <c r="V50" s="280"/>
      <c r="W50" s="281"/>
      <c r="X50" s="281"/>
      <c r="Y50" s="281"/>
      <c r="Z50" s="281"/>
      <c r="AA50" s="282"/>
      <c r="AB50" s="280"/>
      <c r="AC50" s="281"/>
      <c r="AD50" s="281"/>
      <c r="AE50" s="281"/>
      <c r="AF50" s="281"/>
      <c r="AG50" s="282"/>
      <c r="AH50" s="280"/>
      <c r="AI50" s="281"/>
      <c r="AJ50" s="281"/>
      <c r="AK50" s="281"/>
      <c r="AL50" s="281"/>
      <c r="AM50" s="282"/>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3"/>
      <c r="K51" s="284"/>
      <c r="L51" s="284"/>
      <c r="M51" s="284"/>
      <c r="N51" s="284"/>
      <c r="O51" s="285"/>
      <c r="P51" s="283"/>
      <c r="Q51" s="284"/>
      <c r="R51" s="284"/>
      <c r="S51" s="284"/>
      <c r="T51" s="284"/>
      <c r="U51" s="285"/>
      <c r="V51" s="283"/>
      <c r="W51" s="284"/>
      <c r="X51" s="284"/>
      <c r="Y51" s="284"/>
      <c r="Z51" s="284"/>
      <c r="AA51" s="285"/>
      <c r="AB51" s="283"/>
      <c r="AC51" s="284"/>
      <c r="AD51" s="284"/>
      <c r="AE51" s="284"/>
      <c r="AF51" s="284"/>
      <c r="AG51" s="285"/>
      <c r="AH51" s="283"/>
      <c r="AI51" s="284"/>
      <c r="AJ51" s="284"/>
      <c r="AK51" s="284"/>
      <c r="AL51" s="284"/>
      <c r="AM51" s="285"/>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3" t="s">
        <v>153</v>
      </c>
      <c r="C2" s="354"/>
      <c r="D2" s="354"/>
      <c r="E2" s="354"/>
      <c r="F2" s="354"/>
      <c r="G2" s="354"/>
      <c r="H2" s="354"/>
      <c r="I2" s="354"/>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4"/>
      <c r="C3" s="354"/>
      <c r="D3" s="354"/>
      <c r="E3" s="354"/>
      <c r="F3" s="354"/>
      <c r="G3" s="354"/>
      <c r="H3" s="354"/>
      <c r="I3" s="354"/>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4"/>
      <c r="C4" s="354"/>
      <c r="D4" s="354"/>
      <c r="E4" s="354"/>
      <c r="F4" s="354"/>
      <c r="G4" s="354"/>
      <c r="H4" s="354"/>
      <c r="I4" s="354"/>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39" t="s">
        <v>3</v>
      </c>
      <c r="C6" s="239"/>
      <c r="D6" s="240"/>
      <c r="E6" s="336" t="s">
        <v>112</v>
      </c>
      <c r="F6" s="337"/>
      <c r="G6" s="337"/>
      <c r="H6" s="337"/>
      <c r="I6" s="355"/>
      <c r="J6" s="32" t="str">
        <f>IF(AND('Mapa final'!$AA$9="Muy Alta",'Mapa final'!$AC$9="Leve"),CONCATENATE("R1C",'Mapa final'!$Q$9),"")</f>
        <v/>
      </c>
      <c r="K6" s="33" t="str">
        <f>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IF(AND('Mapa final'!$AA$9="Muy Alta",'Mapa final'!$AC$9="Menor"),CONCATENATE("R1C",'Mapa final'!$Q$9),"")</f>
        <v/>
      </c>
      <c r="Q6" s="33" t="str">
        <f>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IF(AND('Mapa final'!$AA$9="Muy Alta",'Mapa final'!$AC$9="Moderado"),CONCATENATE("R1C",'Mapa final'!$Q$9),"")</f>
        <v/>
      </c>
      <c r="W6" s="33" t="str">
        <f>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IF(AND('Mapa final'!$AA$9="Muy Alta",'Mapa final'!$AC$9="Mayor"),CONCATENATE("R1C",'Mapa final'!$Q$9),"")</f>
        <v/>
      </c>
      <c r="AC6" s="33" t="str">
        <f>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IF(AND('Mapa final'!$AA$9="Muy Alta",'Mapa final'!$AC$9="Catastrófico"),CONCATENATE("R1C",'Mapa final'!$Q$9),"")</f>
        <v/>
      </c>
      <c r="AI6" s="36" t="str">
        <f>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44" t="s">
        <v>75</v>
      </c>
      <c r="AP6" s="345"/>
      <c r="AQ6" s="345"/>
      <c r="AR6" s="345"/>
      <c r="AS6" s="345"/>
      <c r="AT6" s="346"/>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39"/>
      <c r="C7" s="239"/>
      <c r="D7" s="240"/>
      <c r="E7" s="340"/>
      <c r="F7" s="341"/>
      <c r="G7" s="341"/>
      <c r="H7" s="341"/>
      <c r="I7" s="356"/>
      <c r="J7" s="38" t="str">
        <f>IF(AND('Mapa final'!$AA$15="Muy Alta",'Mapa final'!$AC$15="Leve"),CONCATENATE("R2C",'Mapa final'!$Q$15),"")</f>
        <v/>
      </c>
      <c r="K7" s="39" t="str">
        <f>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IF(AND('Mapa final'!$AA$15="Muy Alta",'Mapa final'!$AC$15="Menor"),CONCATENATE("R2C",'Mapa final'!$Q$15),"")</f>
        <v/>
      </c>
      <c r="Q7" s="39" t="str">
        <f>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IF(AND('Mapa final'!$AA$15="Muy Alta",'Mapa final'!$AC$15="Moderado"),CONCATENATE("R2C",'Mapa final'!$Q$15),"")</f>
        <v/>
      </c>
      <c r="W7" s="39" t="str">
        <f>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IF(AND('Mapa final'!$AA$15="Muy Alta",'Mapa final'!$AC$15="Mayor"),CONCATENATE("R2C",'Mapa final'!$Q$15),"")</f>
        <v/>
      </c>
      <c r="AC7" s="39" t="str">
        <f>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IF(AND('Mapa final'!$AA$15="Muy Alta",'Mapa final'!$AC$15="Catastrófico"),CONCATENATE("R2C",'Mapa final'!$Q$15),"")</f>
        <v/>
      </c>
      <c r="AI7" s="42" t="str">
        <f>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7"/>
      <c r="AP7" s="348"/>
      <c r="AQ7" s="348"/>
      <c r="AR7" s="348"/>
      <c r="AS7" s="348"/>
      <c r="AT7" s="349"/>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39"/>
      <c r="C8" s="239"/>
      <c r="D8" s="240"/>
      <c r="E8" s="340"/>
      <c r="F8" s="341"/>
      <c r="G8" s="341"/>
      <c r="H8" s="341"/>
      <c r="I8" s="356"/>
      <c r="J8" s="38" t="str">
        <f>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7"/>
      <c r="AP8" s="348"/>
      <c r="AQ8" s="348"/>
      <c r="AR8" s="348"/>
      <c r="AS8" s="348"/>
      <c r="AT8" s="349"/>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39"/>
      <c r="C9" s="239"/>
      <c r="D9" s="240"/>
      <c r="E9" s="340"/>
      <c r="F9" s="341"/>
      <c r="G9" s="341"/>
      <c r="H9" s="341"/>
      <c r="I9" s="356"/>
      <c r="J9" s="38" t="str">
        <f>IF(AND('Mapa final'!$AA$27="Muy Alta",'Mapa final'!$AC$27="Leve"),CONCATENATE("R4C",'Mapa final'!$Q$27),"")</f>
        <v/>
      </c>
      <c r="K9" s="39" t="str">
        <f>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IF(AND('Mapa final'!$AA$27="Muy Alta",'Mapa final'!$AC$27="Menor"),CONCATENATE("R4C",'Mapa final'!$Q$27),"")</f>
        <v/>
      </c>
      <c r="Q9" s="39" t="str">
        <f>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IF(AND('Mapa final'!$AA$27="Muy Alta",'Mapa final'!$AC$27="Moderado"),CONCATENATE("R4C",'Mapa final'!$Q$27),"")</f>
        <v/>
      </c>
      <c r="W9" s="39" t="str">
        <f>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IF(AND('Mapa final'!$AA$27="Muy Alta",'Mapa final'!$AC$27="Mayor"),CONCATENATE("R4C",'Mapa final'!$Q$27),"")</f>
        <v/>
      </c>
      <c r="AC9" s="39" t="str">
        <f>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IF(AND('Mapa final'!$AA$27="Muy Alta",'Mapa final'!$AC$27="Catastrófico"),CONCATENATE("R4C",'Mapa final'!$Q$27),"")</f>
        <v/>
      </c>
      <c r="AI9" s="42" t="str">
        <f>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7"/>
      <c r="AP9" s="348"/>
      <c r="AQ9" s="348"/>
      <c r="AR9" s="348"/>
      <c r="AS9" s="348"/>
      <c r="AT9" s="349"/>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39"/>
      <c r="C10" s="239"/>
      <c r="D10" s="240"/>
      <c r="E10" s="340"/>
      <c r="F10" s="341"/>
      <c r="G10" s="341"/>
      <c r="H10" s="341"/>
      <c r="I10" s="356"/>
      <c r="J10" s="38" t="str">
        <f>IF(AND('Mapa final'!$AA$33="Muy Alta",'Mapa final'!$AC$33="Leve"),CONCATENATE("R5C",'Mapa final'!$Q$33),"")</f>
        <v/>
      </c>
      <c r="K10" s="39" t="str">
        <f>IF(AND('Mapa final'!$AA$34="Muy Alta",'Mapa final'!$AC$34="Leve"),CONCATENATE("R5C",'Mapa final'!$Q$34),"")</f>
        <v/>
      </c>
      <c r="L10" s="44" t="str">
        <f>IF(AND('Mapa final'!$AA$35="Muy Alta",'Mapa final'!$AC$35="Leve"),CONCATENATE("R5C",'Mapa final'!$Q$35),"")</f>
        <v/>
      </c>
      <c r="M10" s="44" t="str">
        <f>IF(AND('Mapa final'!$AA$36="Muy Alta",'Mapa final'!$AC$36="Leve"),CONCATENATE("R5C",'Mapa final'!$Q$36),"")</f>
        <v/>
      </c>
      <c r="N10" s="44" t="str">
        <f>IF(AND('Mapa final'!$AA$37="Muy Alta",'Mapa final'!$AC$37="Leve"),CONCATENATE("R5C",'Mapa final'!$Q$37),"")</f>
        <v/>
      </c>
      <c r="O10" s="40" t="str">
        <f>IF(AND('Mapa final'!$AA$38="Muy Alta",'Mapa final'!$AC$38="Leve"),CONCATENATE("R5C",'Mapa final'!$Q$38),"")</f>
        <v/>
      </c>
      <c r="P10" s="38" t="str">
        <f>IF(AND('Mapa final'!$AA$33="Muy Alta",'Mapa final'!$AC$33="Menor"),CONCATENATE("R5C",'Mapa final'!$Q$33),"")</f>
        <v/>
      </c>
      <c r="Q10" s="39" t="str">
        <f>IF(AND('Mapa final'!$AA$34="Muy Alta",'Mapa final'!$AC$34="Menor"),CONCATENATE("R5C",'Mapa final'!$Q$34),"")</f>
        <v/>
      </c>
      <c r="R10" s="44" t="str">
        <f>IF(AND('Mapa final'!$AA$35="Muy Alta",'Mapa final'!$AC$35="Menor"),CONCATENATE("R5C",'Mapa final'!$Q$35),"")</f>
        <v/>
      </c>
      <c r="S10" s="44" t="str">
        <f>IF(AND('Mapa final'!$AA$36="Muy Alta",'Mapa final'!$AC$36="Menor"),CONCATENATE("R5C",'Mapa final'!$Q$36),"")</f>
        <v/>
      </c>
      <c r="T10" s="44" t="str">
        <f>IF(AND('Mapa final'!$AA$37="Muy Alta",'Mapa final'!$AC$37="Menor"),CONCATENATE("R5C",'Mapa final'!$Q$37),"")</f>
        <v/>
      </c>
      <c r="U10" s="40" t="str">
        <f>IF(AND('Mapa final'!$AA$38="Muy Alta",'Mapa final'!$AC$38="Menor"),CONCATENATE("R5C",'Mapa final'!$Q$38),"")</f>
        <v/>
      </c>
      <c r="V10" s="38" t="str">
        <f>IF(AND('Mapa final'!$AA$33="Muy Alta",'Mapa final'!$AC$33="Moderado"),CONCATENATE("R5C",'Mapa final'!$Q$33),"")</f>
        <v/>
      </c>
      <c r="W10" s="39" t="str">
        <f>IF(AND('Mapa final'!$AA$34="Muy Alta",'Mapa final'!$AC$34="Moderado"),CONCATENATE("R5C",'Mapa final'!$Q$34),"")</f>
        <v/>
      </c>
      <c r="X10" s="44" t="str">
        <f>IF(AND('Mapa final'!$AA$35="Muy Alta",'Mapa final'!$AC$35="Moderado"),CONCATENATE("R5C",'Mapa final'!$Q$35),"")</f>
        <v/>
      </c>
      <c r="Y10" s="44" t="str">
        <f>IF(AND('Mapa final'!$AA$36="Muy Alta",'Mapa final'!$AC$36="Moderado"),CONCATENATE("R5C",'Mapa final'!$Q$36),"")</f>
        <v/>
      </c>
      <c r="Z10" s="44" t="str">
        <f>IF(AND('Mapa final'!$AA$37="Muy Alta",'Mapa final'!$AC$37="Moderado"),CONCATENATE("R5C",'Mapa final'!$Q$37),"")</f>
        <v/>
      </c>
      <c r="AA10" s="40" t="str">
        <f>IF(AND('Mapa final'!$AA$38="Muy Alta",'Mapa final'!$AC$38="Moderado"),CONCATENATE("R5C",'Mapa final'!$Q$38),"")</f>
        <v/>
      </c>
      <c r="AB10" s="38" t="str">
        <f>IF(AND('Mapa final'!$AA$33="Muy Alta",'Mapa final'!$AC$33="Mayor"),CONCATENATE("R5C",'Mapa final'!$Q$33),"")</f>
        <v/>
      </c>
      <c r="AC10" s="39" t="str">
        <f>IF(AND('Mapa final'!$AA$34="Muy Alta",'Mapa final'!$AC$34="Mayor"),CONCATENATE("R5C",'Mapa final'!$Q$34),"")</f>
        <v/>
      </c>
      <c r="AD10" s="44" t="str">
        <f>IF(AND('Mapa final'!$AA$35="Muy Alta",'Mapa final'!$AC$35="Mayor"),CONCATENATE("R5C",'Mapa final'!$Q$35),"")</f>
        <v/>
      </c>
      <c r="AE10" s="44" t="str">
        <f>IF(AND('Mapa final'!$AA$36="Muy Alta",'Mapa final'!$AC$36="Mayor"),CONCATENATE("R5C",'Mapa final'!$Q$36),"")</f>
        <v/>
      </c>
      <c r="AF10" s="44" t="str">
        <f>IF(AND('Mapa final'!$AA$37="Muy Alta",'Mapa final'!$AC$37="Mayor"),CONCATENATE("R5C",'Mapa final'!$Q$37),"")</f>
        <v/>
      </c>
      <c r="AG10" s="40" t="str">
        <f>IF(AND('Mapa final'!$AA$38="Muy Alta",'Mapa final'!$AC$38="Mayor"),CONCATENATE("R5C",'Mapa final'!$Q$38),"")</f>
        <v/>
      </c>
      <c r="AH10" s="41" t="str">
        <f>IF(AND('Mapa final'!$AA$33="Muy Alta",'Mapa final'!$AC$33="Catastrófico"),CONCATENATE("R5C",'Mapa final'!$Q$33),"")</f>
        <v/>
      </c>
      <c r="AI10" s="42" t="str">
        <f>IF(AND('Mapa final'!$AA$34="Muy Alta",'Mapa final'!$AC$34="Catastrófico"),CONCATENATE("R5C",'Mapa final'!$Q$34),"")</f>
        <v/>
      </c>
      <c r="AJ10" s="42" t="str">
        <f>IF(AND('Mapa final'!$AA$35="Muy Alta",'Mapa final'!$AC$35="Catastrófico"),CONCATENATE("R5C",'Mapa final'!$Q$35),"")</f>
        <v/>
      </c>
      <c r="AK10" s="42" t="str">
        <f>IF(AND('Mapa final'!$AA$36="Muy Alta",'Mapa final'!$AC$36="Catastrófico"),CONCATENATE("R5C",'Mapa final'!$Q$36),"")</f>
        <v/>
      </c>
      <c r="AL10" s="42" t="str">
        <f>IF(AND('Mapa final'!$AA$37="Muy Alta",'Mapa final'!$AC$37="Catastrófico"),CONCATENATE("R5C",'Mapa final'!$Q$37),"")</f>
        <v/>
      </c>
      <c r="AM10" s="43" t="str">
        <f>IF(AND('Mapa final'!$AA$38="Muy Alta",'Mapa final'!$AC$38="Catastrófico"),CONCATENATE("R5C",'Mapa final'!$Q$38),"")</f>
        <v/>
      </c>
      <c r="AN10" s="70"/>
      <c r="AO10" s="347"/>
      <c r="AP10" s="348"/>
      <c r="AQ10" s="348"/>
      <c r="AR10" s="348"/>
      <c r="AS10" s="348"/>
      <c r="AT10" s="349"/>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39"/>
      <c r="C11" s="239"/>
      <c r="D11" s="240"/>
      <c r="E11" s="340"/>
      <c r="F11" s="341"/>
      <c r="G11" s="341"/>
      <c r="H11" s="341"/>
      <c r="I11" s="356"/>
      <c r="J11" s="38" t="str">
        <f>IF(AND('Mapa final'!$AA$39="Muy Alta",'Mapa final'!$AC$39="Leve"),CONCATENATE("R6C",'Mapa final'!$Q$39),"")</f>
        <v/>
      </c>
      <c r="K11" s="39" t="str">
        <f>IF(AND('Mapa final'!$AA$40="Muy Alta",'Mapa final'!$AC$40="Leve"),CONCATENATE("R6C",'Mapa final'!$Q$40),"")</f>
        <v/>
      </c>
      <c r="L11" s="44" t="str">
        <f>IF(AND('Mapa final'!$AA$41="Muy Alta",'Mapa final'!$AC$41="Leve"),CONCATENATE("R6C",'Mapa final'!$Q$41),"")</f>
        <v/>
      </c>
      <c r="M11" s="44" t="str">
        <f>IF(AND('Mapa final'!$AA$42="Muy Alta",'Mapa final'!$AC$42="Leve"),CONCATENATE("R6C",'Mapa final'!$Q$42),"")</f>
        <v/>
      </c>
      <c r="N11" s="44" t="str">
        <f>IF(AND('Mapa final'!$AA$43="Muy Alta",'Mapa final'!$AC$43="Leve"),CONCATENATE("R6C",'Mapa final'!$Q$43),"")</f>
        <v/>
      </c>
      <c r="O11" s="40" t="str">
        <f>IF(AND('Mapa final'!$AA$44="Muy Alta",'Mapa final'!$AC$44="Leve"),CONCATENATE("R6C",'Mapa final'!$Q$44),"")</f>
        <v/>
      </c>
      <c r="P11" s="38" t="str">
        <f>IF(AND('Mapa final'!$AA$39="Muy Alta",'Mapa final'!$AC$39="Menor"),CONCATENATE("R6C",'Mapa final'!$Q$39),"")</f>
        <v/>
      </c>
      <c r="Q11" s="39" t="str">
        <f>IF(AND('Mapa final'!$AA$40="Muy Alta",'Mapa final'!$AC$40="Menor"),CONCATENATE("R6C",'Mapa final'!$Q$40),"")</f>
        <v/>
      </c>
      <c r="R11" s="44" t="str">
        <f>IF(AND('Mapa final'!$AA$41="Muy Alta",'Mapa final'!$AC$41="Menor"),CONCATENATE("R6C",'Mapa final'!$Q$41),"")</f>
        <v/>
      </c>
      <c r="S11" s="44" t="str">
        <f>IF(AND('Mapa final'!$AA$42="Muy Alta",'Mapa final'!$AC$42="Menor"),CONCATENATE("R6C",'Mapa final'!$Q$42),"")</f>
        <v/>
      </c>
      <c r="T11" s="44" t="str">
        <f>IF(AND('Mapa final'!$AA$43="Muy Alta",'Mapa final'!$AC$43="Menor"),CONCATENATE("R6C",'Mapa final'!$Q$43),"")</f>
        <v/>
      </c>
      <c r="U11" s="40" t="str">
        <f>IF(AND('Mapa final'!$AA$44="Muy Alta",'Mapa final'!$AC$44="Menor"),CONCATENATE("R6C",'Mapa final'!$Q$44),"")</f>
        <v/>
      </c>
      <c r="V11" s="38" t="str">
        <f>IF(AND('Mapa final'!$AA$39="Muy Alta",'Mapa final'!$AC$39="Moderado"),CONCATENATE("R6C",'Mapa final'!$Q$39),"")</f>
        <v/>
      </c>
      <c r="W11" s="39" t="str">
        <f>IF(AND('Mapa final'!$AA$40="Muy Alta",'Mapa final'!$AC$40="Moderado"),CONCATENATE("R6C",'Mapa final'!$Q$40),"")</f>
        <v/>
      </c>
      <c r="X11" s="44" t="str">
        <f>IF(AND('Mapa final'!$AA$41="Muy Alta",'Mapa final'!$AC$41="Moderado"),CONCATENATE("R6C",'Mapa final'!$Q$41),"")</f>
        <v/>
      </c>
      <c r="Y11" s="44" t="str">
        <f>IF(AND('Mapa final'!$AA$42="Muy Alta",'Mapa final'!$AC$42="Moderado"),CONCATENATE("R6C",'Mapa final'!$Q$42),"")</f>
        <v/>
      </c>
      <c r="Z11" s="44" t="str">
        <f>IF(AND('Mapa final'!$AA$43="Muy Alta",'Mapa final'!$AC$43="Moderado"),CONCATENATE("R6C",'Mapa final'!$Q$43),"")</f>
        <v/>
      </c>
      <c r="AA11" s="40" t="str">
        <f>IF(AND('Mapa final'!$AA$44="Muy Alta",'Mapa final'!$AC$44="Moderado"),CONCATENATE("R6C",'Mapa final'!$Q$44),"")</f>
        <v/>
      </c>
      <c r="AB11" s="38" t="str">
        <f>IF(AND('Mapa final'!$AA$39="Muy Alta",'Mapa final'!$AC$39="Mayor"),CONCATENATE("R6C",'Mapa final'!$Q$39),"")</f>
        <v/>
      </c>
      <c r="AC11" s="39" t="str">
        <f>IF(AND('Mapa final'!$AA$40="Muy Alta",'Mapa final'!$AC$40="Mayor"),CONCATENATE("R6C",'Mapa final'!$Q$40),"")</f>
        <v/>
      </c>
      <c r="AD11" s="44" t="str">
        <f>IF(AND('Mapa final'!$AA$41="Muy Alta",'Mapa final'!$AC$41="Mayor"),CONCATENATE("R6C",'Mapa final'!$Q$41),"")</f>
        <v/>
      </c>
      <c r="AE11" s="44" t="str">
        <f>IF(AND('Mapa final'!$AA$42="Muy Alta",'Mapa final'!$AC$42="Mayor"),CONCATENATE("R6C",'Mapa final'!$Q$42),"")</f>
        <v/>
      </c>
      <c r="AF11" s="44" t="str">
        <f>IF(AND('Mapa final'!$AA$43="Muy Alta",'Mapa final'!$AC$43="Mayor"),CONCATENATE("R6C",'Mapa final'!$Q$43),"")</f>
        <v/>
      </c>
      <c r="AG11" s="40" t="str">
        <f>IF(AND('Mapa final'!$AA$44="Muy Alta",'Mapa final'!$AC$44="Mayor"),CONCATENATE("R6C",'Mapa final'!$Q$44),"")</f>
        <v/>
      </c>
      <c r="AH11" s="41" t="str">
        <f>IF(AND('Mapa final'!$AA$39="Muy Alta",'Mapa final'!$AC$39="Catastrófico"),CONCATENATE("R6C",'Mapa final'!$Q$39),"")</f>
        <v/>
      </c>
      <c r="AI11" s="42" t="str">
        <f>IF(AND('Mapa final'!$AA$40="Muy Alta",'Mapa final'!$AC$40="Catastrófico"),CONCATENATE("R6C",'Mapa final'!$Q$40),"")</f>
        <v/>
      </c>
      <c r="AJ11" s="42" t="str">
        <f>IF(AND('Mapa final'!$AA$41="Muy Alta",'Mapa final'!$AC$41="Catastrófico"),CONCATENATE("R6C",'Mapa final'!$Q$41),"")</f>
        <v/>
      </c>
      <c r="AK11" s="42" t="str">
        <f>IF(AND('Mapa final'!$AA$42="Muy Alta",'Mapa final'!$AC$42="Catastrófico"),CONCATENATE("R6C",'Mapa final'!$Q$42),"")</f>
        <v/>
      </c>
      <c r="AL11" s="42" t="str">
        <f>IF(AND('Mapa final'!$AA$43="Muy Alta",'Mapa final'!$AC$43="Catastrófico"),CONCATENATE("R6C",'Mapa final'!$Q$43),"")</f>
        <v/>
      </c>
      <c r="AM11" s="43" t="str">
        <f>IF(AND('Mapa final'!$AA$44="Muy Alta",'Mapa final'!$AC$44="Catastrófico"),CONCATENATE("R6C",'Mapa final'!$Q$44),"")</f>
        <v/>
      </c>
      <c r="AN11" s="70"/>
      <c r="AO11" s="347"/>
      <c r="AP11" s="348"/>
      <c r="AQ11" s="348"/>
      <c r="AR11" s="348"/>
      <c r="AS11" s="348"/>
      <c r="AT11" s="349"/>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39"/>
      <c r="C12" s="239"/>
      <c r="D12" s="240"/>
      <c r="E12" s="340"/>
      <c r="F12" s="341"/>
      <c r="G12" s="341"/>
      <c r="H12" s="341"/>
      <c r="I12" s="356"/>
      <c r="J12" s="38" t="str">
        <f>IF(AND('Mapa final'!$AA$45="Muy Alta",'Mapa final'!$AC$45="Leve"),CONCATENATE("R7C",'Mapa final'!$Q$45),"")</f>
        <v/>
      </c>
      <c r="K12" s="39" t="str">
        <f>IF(AND('Mapa final'!$AA$46="Muy Alta",'Mapa final'!$AC$46="Leve"),CONCATENATE("R7C",'Mapa final'!$Q$46),"")</f>
        <v/>
      </c>
      <c r="L12" s="44" t="str">
        <f>IF(AND('Mapa final'!$AA$47="Muy Alta",'Mapa final'!$AC$47="Leve"),CONCATENATE("R7C",'Mapa final'!$Q$47),"")</f>
        <v/>
      </c>
      <c r="M12" s="44" t="str">
        <f>IF(AND('Mapa final'!$AA$48="Muy Alta",'Mapa final'!$AC$48="Leve"),CONCATENATE("R7C",'Mapa final'!$Q$48),"")</f>
        <v/>
      </c>
      <c r="N12" s="44" t="str">
        <f>IF(AND('Mapa final'!$AA$49="Muy Alta",'Mapa final'!$AC$49="Leve"),CONCATENATE("R7C",'Mapa final'!$Q$49),"")</f>
        <v/>
      </c>
      <c r="O12" s="40" t="str">
        <f>IF(AND('Mapa final'!$AA$50="Muy Alta",'Mapa final'!$AC$50="Leve"),CONCATENATE("R7C",'Mapa final'!$Q$50),"")</f>
        <v/>
      </c>
      <c r="P12" s="38" t="str">
        <f>IF(AND('Mapa final'!$AA$45="Muy Alta",'Mapa final'!$AC$45="Menor"),CONCATENATE("R7C",'Mapa final'!$Q$45),"")</f>
        <v/>
      </c>
      <c r="Q12" s="39" t="str">
        <f>IF(AND('Mapa final'!$AA$46="Muy Alta",'Mapa final'!$AC$46="Menor"),CONCATENATE("R7C",'Mapa final'!$Q$46),"")</f>
        <v/>
      </c>
      <c r="R12" s="44" t="str">
        <f>IF(AND('Mapa final'!$AA$47="Muy Alta",'Mapa final'!$AC$47="Menor"),CONCATENATE("R7C",'Mapa final'!$Q$47),"")</f>
        <v/>
      </c>
      <c r="S12" s="44" t="str">
        <f>IF(AND('Mapa final'!$AA$48="Muy Alta",'Mapa final'!$AC$48="Menor"),CONCATENATE("R7C",'Mapa final'!$Q$48),"")</f>
        <v/>
      </c>
      <c r="T12" s="44" t="str">
        <f>IF(AND('Mapa final'!$AA$49="Muy Alta",'Mapa final'!$AC$49="Menor"),CONCATENATE("R7C",'Mapa final'!$Q$49),"")</f>
        <v/>
      </c>
      <c r="U12" s="40" t="str">
        <f>IF(AND('Mapa final'!$AA$50="Muy Alta",'Mapa final'!$AC$50="Menor"),CONCATENATE("R7C",'Mapa final'!$Q$50),"")</f>
        <v/>
      </c>
      <c r="V12" s="38" t="str">
        <f>IF(AND('Mapa final'!$AA$45="Muy Alta",'Mapa final'!$AC$45="Moderado"),CONCATENATE("R7C",'Mapa final'!$Q$45),"")</f>
        <v/>
      </c>
      <c r="W12" s="39" t="str">
        <f>IF(AND('Mapa final'!$AA$46="Muy Alta",'Mapa final'!$AC$46="Moderado"),CONCATENATE("R7C",'Mapa final'!$Q$46),"")</f>
        <v/>
      </c>
      <c r="X12" s="44" t="str">
        <f>IF(AND('Mapa final'!$AA$47="Muy Alta",'Mapa final'!$AC$47="Moderado"),CONCATENATE("R7C",'Mapa final'!$Q$47),"")</f>
        <v/>
      </c>
      <c r="Y12" s="44" t="str">
        <f>IF(AND('Mapa final'!$AA$48="Muy Alta",'Mapa final'!$AC$48="Moderado"),CONCATENATE("R7C",'Mapa final'!$Q$48),"")</f>
        <v/>
      </c>
      <c r="Z12" s="44" t="str">
        <f>IF(AND('Mapa final'!$AA$49="Muy Alta",'Mapa final'!$AC$49="Moderado"),CONCATENATE("R7C",'Mapa final'!$Q$49),"")</f>
        <v/>
      </c>
      <c r="AA12" s="40" t="str">
        <f>IF(AND('Mapa final'!$AA$50="Muy Alta",'Mapa final'!$AC$50="Moderado"),CONCATENATE("R7C",'Mapa final'!$Q$50),"")</f>
        <v/>
      </c>
      <c r="AB12" s="38" t="str">
        <f>IF(AND('Mapa final'!$AA$45="Muy Alta",'Mapa final'!$AC$45="Mayor"),CONCATENATE("R7C",'Mapa final'!$Q$45),"")</f>
        <v/>
      </c>
      <c r="AC12" s="39" t="str">
        <f>IF(AND('Mapa final'!$AA$46="Muy Alta",'Mapa final'!$AC$46="Mayor"),CONCATENATE("R7C",'Mapa final'!$Q$46),"")</f>
        <v/>
      </c>
      <c r="AD12" s="44" t="str">
        <f>IF(AND('Mapa final'!$AA$47="Muy Alta",'Mapa final'!$AC$47="Mayor"),CONCATENATE("R7C",'Mapa final'!$Q$47),"")</f>
        <v/>
      </c>
      <c r="AE12" s="44" t="str">
        <f>IF(AND('Mapa final'!$AA$48="Muy Alta",'Mapa final'!$AC$48="Mayor"),CONCATENATE("R7C",'Mapa final'!$Q$48),"")</f>
        <v/>
      </c>
      <c r="AF12" s="44" t="str">
        <f>IF(AND('Mapa final'!$AA$49="Muy Alta",'Mapa final'!$AC$49="Mayor"),CONCATENATE("R7C",'Mapa final'!$Q$49),"")</f>
        <v/>
      </c>
      <c r="AG12" s="40" t="str">
        <f>IF(AND('Mapa final'!$AA$50="Muy Alta",'Mapa final'!$AC$50="Mayor"),CONCATENATE("R7C",'Mapa final'!$Q$50),"")</f>
        <v/>
      </c>
      <c r="AH12" s="41" t="str">
        <f>IF(AND('Mapa final'!$AA$45="Muy Alta",'Mapa final'!$AC$45="Catastrófico"),CONCATENATE("R7C",'Mapa final'!$Q$45),"")</f>
        <v/>
      </c>
      <c r="AI12" s="42" t="str">
        <f>IF(AND('Mapa final'!$AA$46="Muy Alta",'Mapa final'!$AC$46="Catastrófico"),CONCATENATE("R7C",'Mapa final'!$Q$46),"")</f>
        <v/>
      </c>
      <c r="AJ12" s="42" t="str">
        <f>IF(AND('Mapa final'!$AA$47="Muy Alta",'Mapa final'!$AC$47="Catastrófico"),CONCATENATE("R7C",'Mapa final'!$Q$47),"")</f>
        <v/>
      </c>
      <c r="AK12" s="42" t="str">
        <f>IF(AND('Mapa final'!$AA$48="Muy Alta",'Mapa final'!$AC$48="Catastrófico"),CONCATENATE("R7C",'Mapa final'!$Q$48),"")</f>
        <v/>
      </c>
      <c r="AL12" s="42" t="str">
        <f>IF(AND('Mapa final'!$AA$49="Muy Alta",'Mapa final'!$AC$49="Catastrófico"),CONCATENATE("R7C",'Mapa final'!$Q$49),"")</f>
        <v/>
      </c>
      <c r="AM12" s="43" t="str">
        <f>IF(AND('Mapa final'!$AA$50="Muy Alta",'Mapa final'!$AC$50="Catastrófico"),CONCATENATE("R7C",'Mapa final'!$Q$50),"")</f>
        <v/>
      </c>
      <c r="AN12" s="70"/>
      <c r="AO12" s="347"/>
      <c r="AP12" s="348"/>
      <c r="AQ12" s="348"/>
      <c r="AR12" s="348"/>
      <c r="AS12" s="348"/>
      <c r="AT12" s="349"/>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39"/>
      <c r="C13" s="239"/>
      <c r="D13" s="240"/>
      <c r="E13" s="340"/>
      <c r="F13" s="341"/>
      <c r="G13" s="341"/>
      <c r="H13" s="341"/>
      <c r="I13" s="356"/>
      <c r="J13" s="38" t="str">
        <f>IF(AND('Mapa final'!$AA$51="Muy Alta",'Mapa final'!$AC$51="Leve"),CONCATENATE("R8C",'Mapa final'!$Q$51),"")</f>
        <v/>
      </c>
      <c r="K13" s="39" t="str">
        <f>IF(AND('Mapa final'!$AA$52="Muy Alta",'Mapa final'!$AC$52="Leve"),CONCATENATE("R8C",'Mapa final'!$Q$52),"")</f>
        <v/>
      </c>
      <c r="L13" s="44" t="str">
        <f>IF(AND('Mapa final'!$AA$53="Muy Alta",'Mapa final'!$AC$53="Leve"),CONCATENATE("R8C",'Mapa final'!$Q$53),"")</f>
        <v/>
      </c>
      <c r="M13" s="44" t="str">
        <f>IF(AND('Mapa final'!$AA$54="Muy Alta",'Mapa final'!$AC$54="Leve"),CONCATENATE("R8C",'Mapa final'!$Q$54),"")</f>
        <v/>
      </c>
      <c r="N13" s="44" t="str">
        <f>IF(AND('Mapa final'!$AA$55="Muy Alta",'Mapa final'!$AC$55="Leve"),CONCATENATE("R8C",'Mapa final'!$Q$55),"")</f>
        <v/>
      </c>
      <c r="O13" s="40" t="str">
        <f>IF(AND('Mapa final'!$AA$56="Muy Alta",'Mapa final'!$AC$56="Leve"),CONCATENATE("R8C",'Mapa final'!$Q$56),"")</f>
        <v/>
      </c>
      <c r="P13" s="38" t="str">
        <f>IF(AND('Mapa final'!$AA$51="Muy Alta",'Mapa final'!$AC$51="Menor"),CONCATENATE("R8C",'Mapa final'!$Q$51),"")</f>
        <v/>
      </c>
      <c r="Q13" s="39" t="str">
        <f>IF(AND('Mapa final'!$AA$52="Muy Alta",'Mapa final'!$AC$52="Menor"),CONCATENATE("R8C",'Mapa final'!$Q$52),"")</f>
        <v/>
      </c>
      <c r="R13" s="44" t="str">
        <f>IF(AND('Mapa final'!$AA$53="Muy Alta",'Mapa final'!$AC$53="Menor"),CONCATENATE("R8C",'Mapa final'!$Q$53),"")</f>
        <v/>
      </c>
      <c r="S13" s="44" t="str">
        <f>IF(AND('Mapa final'!$AA$54="Muy Alta",'Mapa final'!$AC$54="Menor"),CONCATENATE("R8C",'Mapa final'!$Q$54),"")</f>
        <v/>
      </c>
      <c r="T13" s="44" t="str">
        <f>IF(AND('Mapa final'!$AA$55="Muy Alta",'Mapa final'!$AC$55="Menor"),CONCATENATE("R8C",'Mapa final'!$Q$55),"")</f>
        <v/>
      </c>
      <c r="U13" s="40" t="str">
        <f>IF(AND('Mapa final'!$AA$56="Muy Alta",'Mapa final'!$AC$56="Menor"),CONCATENATE("R8C",'Mapa final'!$Q$56),"")</f>
        <v/>
      </c>
      <c r="V13" s="38" t="str">
        <f>IF(AND('Mapa final'!$AA$51="Muy Alta",'Mapa final'!$AC$51="Moderado"),CONCATENATE("R8C",'Mapa final'!$Q$51),"")</f>
        <v/>
      </c>
      <c r="W13" s="39" t="str">
        <f>IF(AND('Mapa final'!$AA$52="Muy Alta",'Mapa final'!$AC$52="Moderado"),CONCATENATE("R8C",'Mapa final'!$Q$52),"")</f>
        <v/>
      </c>
      <c r="X13" s="44" t="str">
        <f>IF(AND('Mapa final'!$AA$53="Muy Alta",'Mapa final'!$AC$53="Moderado"),CONCATENATE("R8C",'Mapa final'!$Q$53),"")</f>
        <v/>
      </c>
      <c r="Y13" s="44" t="str">
        <f>IF(AND('Mapa final'!$AA$54="Muy Alta",'Mapa final'!$AC$54="Moderado"),CONCATENATE("R8C",'Mapa final'!$Q$54),"")</f>
        <v/>
      </c>
      <c r="Z13" s="44" t="str">
        <f>IF(AND('Mapa final'!$AA$55="Muy Alta",'Mapa final'!$AC$55="Moderado"),CONCATENATE("R8C",'Mapa final'!$Q$55),"")</f>
        <v/>
      </c>
      <c r="AA13" s="40" t="str">
        <f>IF(AND('Mapa final'!$AA$56="Muy Alta",'Mapa final'!$AC$56="Moderado"),CONCATENATE("R8C",'Mapa final'!$Q$56),"")</f>
        <v/>
      </c>
      <c r="AB13" s="38" t="str">
        <f>IF(AND('Mapa final'!$AA$51="Muy Alta",'Mapa final'!$AC$51="Mayor"),CONCATENATE("R8C",'Mapa final'!$Q$51),"")</f>
        <v/>
      </c>
      <c r="AC13" s="39" t="str">
        <f>IF(AND('Mapa final'!$AA$52="Muy Alta",'Mapa final'!$AC$52="Mayor"),CONCATENATE("R8C",'Mapa final'!$Q$52),"")</f>
        <v/>
      </c>
      <c r="AD13" s="44" t="str">
        <f>IF(AND('Mapa final'!$AA$53="Muy Alta",'Mapa final'!$AC$53="Mayor"),CONCATENATE("R8C",'Mapa final'!$Q$53),"")</f>
        <v/>
      </c>
      <c r="AE13" s="44" t="str">
        <f>IF(AND('Mapa final'!$AA$54="Muy Alta",'Mapa final'!$AC$54="Mayor"),CONCATENATE("R8C",'Mapa final'!$Q$54),"")</f>
        <v/>
      </c>
      <c r="AF13" s="44" t="str">
        <f>IF(AND('Mapa final'!$AA$55="Muy Alta",'Mapa final'!$AC$55="Mayor"),CONCATENATE("R8C",'Mapa final'!$Q$55),"")</f>
        <v/>
      </c>
      <c r="AG13" s="40" t="str">
        <f>IF(AND('Mapa final'!$AA$56="Muy Alta",'Mapa final'!$AC$56="Mayor"),CONCATENATE("R8C",'Mapa final'!$Q$56),"")</f>
        <v/>
      </c>
      <c r="AH13" s="41" t="str">
        <f>IF(AND('Mapa final'!$AA$51="Muy Alta",'Mapa final'!$AC$51="Catastrófico"),CONCATENATE("R8C",'Mapa final'!$Q$51),"")</f>
        <v/>
      </c>
      <c r="AI13" s="42" t="str">
        <f>IF(AND('Mapa final'!$AA$52="Muy Alta",'Mapa final'!$AC$52="Catastrófico"),CONCATENATE("R8C",'Mapa final'!$Q$52),"")</f>
        <v/>
      </c>
      <c r="AJ13" s="42" t="str">
        <f>IF(AND('Mapa final'!$AA$53="Muy Alta",'Mapa final'!$AC$53="Catastrófico"),CONCATENATE("R8C",'Mapa final'!$Q$53),"")</f>
        <v/>
      </c>
      <c r="AK13" s="42" t="str">
        <f>IF(AND('Mapa final'!$AA$54="Muy Alta",'Mapa final'!$AC$54="Catastrófico"),CONCATENATE("R8C",'Mapa final'!$Q$54),"")</f>
        <v/>
      </c>
      <c r="AL13" s="42" t="str">
        <f>IF(AND('Mapa final'!$AA$55="Muy Alta",'Mapa final'!$AC$55="Catastrófico"),CONCATENATE("R8C",'Mapa final'!$Q$55),"")</f>
        <v/>
      </c>
      <c r="AM13" s="43" t="str">
        <f>IF(AND('Mapa final'!$AA$56="Muy Alta",'Mapa final'!$AC$56="Catastrófico"),CONCATENATE("R8C",'Mapa final'!$Q$56),"")</f>
        <v/>
      </c>
      <c r="AN13" s="70"/>
      <c r="AO13" s="347"/>
      <c r="AP13" s="348"/>
      <c r="AQ13" s="348"/>
      <c r="AR13" s="348"/>
      <c r="AS13" s="348"/>
      <c r="AT13" s="34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39"/>
      <c r="C14" s="239"/>
      <c r="D14" s="240"/>
      <c r="E14" s="340"/>
      <c r="F14" s="341"/>
      <c r="G14" s="341"/>
      <c r="H14" s="341"/>
      <c r="I14" s="356"/>
      <c r="J14" s="38" t="str">
        <f>IF(AND('Mapa final'!$AA$57="Muy Alta",'Mapa final'!$AC$57="Leve"),CONCATENATE("R9C",'Mapa final'!$Q$57),"")</f>
        <v/>
      </c>
      <c r="K14" s="39" t="str">
        <f>IF(AND('Mapa final'!$AA$58="Muy Alta",'Mapa final'!$AC$58="Leve"),CONCATENATE("R9C",'Mapa final'!$Q$58),"")</f>
        <v/>
      </c>
      <c r="L14" s="44" t="str">
        <f>IF(AND('Mapa final'!$AA$59="Muy Alta",'Mapa final'!$AC$59="Leve"),CONCATENATE("R9C",'Mapa final'!$Q$59),"")</f>
        <v/>
      </c>
      <c r="M14" s="44" t="str">
        <f>IF(AND('Mapa final'!$AA$60="Muy Alta",'Mapa final'!$AC$60="Leve"),CONCATENATE("R9C",'Mapa final'!$Q$60),"")</f>
        <v/>
      </c>
      <c r="N14" s="44" t="str">
        <f>IF(AND('Mapa final'!$AA$61="Muy Alta",'Mapa final'!$AC$61="Leve"),CONCATENATE("R9C",'Mapa final'!$Q$61),"")</f>
        <v/>
      </c>
      <c r="O14" s="40" t="str">
        <f>IF(AND('Mapa final'!$AA$62="Muy Alta",'Mapa final'!$AC$62="Leve"),CONCATENATE("R9C",'Mapa final'!$Q$62),"")</f>
        <v/>
      </c>
      <c r="P14" s="38" t="str">
        <f>IF(AND('Mapa final'!$AA$57="Muy Alta",'Mapa final'!$AC$57="Menor"),CONCATENATE("R9C",'Mapa final'!$Q$57),"")</f>
        <v/>
      </c>
      <c r="Q14" s="39" t="str">
        <f>IF(AND('Mapa final'!$AA$58="Muy Alta",'Mapa final'!$AC$58="Menor"),CONCATENATE("R9C",'Mapa final'!$Q$58),"")</f>
        <v/>
      </c>
      <c r="R14" s="44" t="str">
        <f>IF(AND('Mapa final'!$AA$59="Muy Alta",'Mapa final'!$AC$59="Menor"),CONCATENATE("R9C",'Mapa final'!$Q$59),"")</f>
        <v/>
      </c>
      <c r="S14" s="44" t="str">
        <f>IF(AND('Mapa final'!$AA$60="Muy Alta",'Mapa final'!$AC$60="Menor"),CONCATENATE("R9C",'Mapa final'!$Q$60),"")</f>
        <v/>
      </c>
      <c r="T14" s="44" t="str">
        <f>IF(AND('Mapa final'!$AA$61="Muy Alta",'Mapa final'!$AC$61="Menor"),CONCATENATE("R9C",'Mapa final'!$Q$61),"")</f>
        <v/>
      </c>
      <c r="U14" s="40" t="str">
        <f>IF(AND('Mapa final'!$AA$62="Muy Alta",'Mapa final'!$AC$62="Menor"),CONCATENATE("R9C",'Mapa final'!$Q$62),"")</f>
        <v/>
      </c>
      <c r="V14" s="38" t="str">
        <f>IF(AND('Mapa final'!$AA$57="Muy Alta",'Mapa final'!$AC$57="Moderado"),CONCATENATE("R9C",'Mapa final'!$Q$57),"")</f>
        <v/>
      </c>
      <c r="W14" s="39" t="str">
        <f>IF(AND('Mapa final'!$AA$58="Muy Alta",'Mapa final'!$AC$58="Moderado"),CONCATENATE("R9C",'Mapa final'!$Q$58),"")</f>
        <v/>
      </c>
      <c r="X14" s="44" t="str">
        <f>IF(AND('Mapa final'!$AA$59="Muy Alta",'Mapa final'!$AC$59="Moderado"),CONCATENATE("R9C",'Mapa final'!$Q$59),"")</f>
        <v/>
      </c>
      <c r="Y14" s="44" t="str">
        <f>IF(AND('Mapa final'!$AA$60="Muy Alta",'Mapa final'!$AC$60="Moderado"),CONCATENATE("R9C",'Mapa final'!$Q$60),"")</f>
        <v/>
      </c>
      <c r="Z14" s="44" t="str">
        <f>IF(AND('Mapa final'!$AA$61="Muy Alta",'Mapa final'!$AC$61="Moderado"),CONCATENATE("R9C",'Mapa final'!$Q$61),"")</f>
        <v/>
      </c>
      <c r="AA14" s="40" t="str">
        <f>IF(AND('Mapa final'!$AA$62="Muy Alta",'Mapa final'!$AC$62="Moderado"),CONCATENATE("R9C",'Mapa final'!$Q$62),"")</f>
        <v/>
      </c>
      <c r="AB14" s="38" t="str">
        <f>IF(AND('Mapa final'!$AA$57="Muy Alta",'Mapa final'!$AC$57="Mayor"),CONCATENATE("R9C",'Mapa final'!$Q$57),"")</f>
        <v/>
      </c>
      <c r="AC14" s="39" t="str">
        <f>IF(AND('Mapa final'!$AA$58="Muy Alta",'Mapa final'!$AC$58="Mayor"),CONCATENATE("R9C",'Mapa final'!$Q$58),"")</f>
        <v/>
      </c>
      <c r="AD14" s="44" t="str">
        <f>IF(AND('Mapa final'!$AA$59="Muy Alta",'Mapa final'!$AC$59="Mayor"),CONCATENATE("R9C",'Mapa final'!$Q$59),"")</f>
        <v/>
      </c>
      <c r="AE14" s="44" t="str">
        <f>IF(AND('Mapa final'!$AA$60="Muy Alta",'Mapa final'!$AC$60="Mayor"),CONCATENATE("R9C",'Mapa final'!$Q$60),"")</f>
        <v/>
      </c>
      <c r="AF14" s="44" t="str">
        <f>IF(AND('Mapa final'!$AA$61="Muy Alta",'Mapa final'!$AC$61="Mayor"),CONCATENATE("R9C",'Mapa final'!$Q$61),"")</f>
        <v/>
      </c>
      <c r="AG14" s="40" t="str">
        <f>IF(AND('Mapa final'!$AA$62="Muy Alta",'Mapa final'!$AC$62="Mayor"),CONCATENATE("R9C",'Mapa final'!$Q$62),"")</f>
        <v/>
      </c>
      <c r="AH14" s="41" t="str">
        <f>IF(AND('Mapa final'!$AA$57="Muy Alta",'Mapa final'!$AC$57="Catastrófico"),CONCATENATE("R9C",'Mapa final'!$Q$57),"")</f>
        <v/>
      </c>
      <c r="AI14" s="42" t="str">
        <f>IF(AND('Mapa final'!$AA$58="Muy Alta",'Mapa final'!$AC$58="Catastrófico"),CONCATENATE("R9C",'Mapa final'!$Q$58),"")</f>
        <v/>
      </c>
      <c r="AJ14" s="42" t="str">
        <f>IF(AND('Mapa final'!$AA$59="Muy Alta",'Mapa final'!$AC$59="Catastrófico"),CONCATENATE("R9C",'Mapa final'!$Q$59),"")</f>
        <v/>
      </c>
      <c r="AK14" s="42" t="str">
        <f>IF(AND('Mapa final'!$AA$60="Muy Alta",'Mapa final'!$AC$60="Catastrófico"),CONCATENATE("R9C",'Mapa final'!$Q$60),"")</f>
        <v/>
      </c>
      <c r="AL14" s="42" t="str">
        <f>IF(AND('Mapa final'!$AA$61="Muy Alta",'Mapa final'!$AC$61="Catastrófico"),CONCATENATE("R9C",'Mapa final'!$Q$61),"")</f>
        <v/>
      </c>
      <c r="AM14" s="43" t="str">
        <f>IF(AND('Mapa final'!$AA$62="Muy Alta",'Mapa final'!$AC$62="Catastrófico"),CONCATENATE("R9C",'Mapa final'!$Q$62),"")</f>
        <v/>
      </c>
      <c r="AN14" s="70"/>
      <c r="AO14" s="347"/>
      <c r="AP14" s="348"/>
      <c r="AQ14" s="348"/>
      <c r="AR14" s="348"/>
      <c r="AS14" s="348"/>
      <c r="AT14" s="34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39"/>
      <c r="C15" s="239"/>
      <c r="D15" s="240"/>
      <c r="E15" s="342"/>
      <c r="F15" s="343"/>
      <c r="G15" s="343"/>
      <c r="H15" s="343"/>
      <c r="I15" s="357"/>
      <c r="J15" s="45" t="str">
        <f>IF(AND('Mapa final'!$AA$63="Muy Alta",'Mapa final'!$AC$63="Leve"),CONCATENATE("R10C",'Mapa final'!$Q$63),"")</f>
        <v/>
      </c>
      <c r="K15" s="46" t="str">
        <f>IF(AND('Mapa final'!$AA$64="Muy Alta",'Mapa final'!$AC$64="Leve"),CONCATENATE("R10C",'Mapa final'!$Q$64),"")</f>
        <v/>
      </c>
      <c r="L15" s="46" t="str">
        <f>IF(AND('Mapa final'!$AA$65="Muy Alta",'Mapa final'!$AC$65="Leve"),CONCATENATE("R10C",'Mapa final'!$Q$65),"")</f>
        <v/>
      </c>
      <c r="M15" s="46" t="str">
        <f>IF(AND('Mapa final'!$AA$66="Muy Alta",'Mapa final'!$AC$66="Leve"),CONCATENATE("R10C",'Mapa final'!$Q$66),"")</f>
        <v/>
      </c>
      <c r="N15" s="46" t="str">
        <f>IF(AND('Mapa final'!$AA$67="Muy Alta",'Mapa final'!$AC$67="Leve"),CONCATENATE("R10C",'Mapa final'!$Q$67),"")</f>
        <v/>
      </c>
      <c r="O15" s="47" t="str">
        <f>IF(AND('Mapa final'!$AA$68="Muy Alta",'Mapa final'!$AC$68="Leve"),CONCATENATE("R10C",'Mapa final'!$Q$68),"")</f>
        <v/>
      </c>
      <c r="P15" s="38" t="str">
        <f>IF(AND('Mapa final'!$AA$63="Muy Alta",'Mapa final'!$AC$63="Menor"),CONCATENATE("R10C",'Mapa final'!$Q$63),"")</f>
        <v/>
      </c>
      <c r="Q15" s="39" t="str">
        <f>IF(AND('Mapa final'!$AA$64="Muy Alta",'Mapa final'!$AC$64="Menor"),CONCATENATE("R10C",'Mapa final'!$Q$64),"")</f>
        <v/>
      </c>
      <c r="R15" s="39" t="str">
        <f>IF(AND('Mapa final'!$AA$65="Muy Alta",'Mapa final'!$AC$65="Menor"),CONCATENATE("R10C",'Mapa final'!$Q$65),"")</f>
        <v/>
      </c>
      <c r="S15" s="39" t="str">
        <f>IF(AND('Mapa final'!$AA$66="Muy Alta",'Mapa final'!$AC$66="Menor"),CONCATENATE("R10C",'Mapa final'!$Q$66),"")</f>
        <v/>
      </c>
      <c r="T15" s="39" t="str">
        <f>IF(AND('Mapa final'!$AA$67="Muy Alta",'Mapa final'!$AC$67="Menor"),CONCATENATE("R10C",'Mapa final'!$Q$67),"")</f>
        <v/>
      </c>
      <c r="U15" s="40" t="str">
        <f>IF(AND('Mapa final'!$AA$68="Muy Alta",'Mapa final'!$AC$68="Menor"),CONCATENATE("R10C",'Mapa final'!$Q$68),"")</f>
        <v/>
      </c>
      <c r="V15" s="45" t="str">
        <f>IF(AND('Mapa final'!$AA$63="Muy Alta",'Mapa final'!$AC$63="Moderado"),CONCATENATE("R10C",'Mapa final'!$Q$63),"")</f>
        <v/>
      </c>
      <c r="W15" s="46" t="str">
        <f>IF(AND('Mapa final'!$AA$64="Muy Alta",'Mapa final'!$AC$64="Moderado"),CONCATENATE("R10C",'Mapa final'!$Q$64),"")</f>
        <v/>
      </c>
      <c r="X15" s="46" t="str">
        <f>IF(AND('Mapa final'!$AA$65="Muy Alta",'Mapa final'!$AC$65="Moderado"),CONCATENATE("R10C",'Mapa final'!$Q$65),"")</f>
        <v/>
      </c>
      <c r="Y15" s="46" t="str">
        <f>IF(AND('Mapa final'!$AA$66="Muy Alta",'Mapa final'!$AC$66="Moderado"),CONCATENATE("R10C",'Mapa final'!$Q$66),"")</f>
        <v/>
      </c>
      <c r="Z15" s="46" t="str">
        <f>IF(AND('Mapa final'!$AA$67="Muy Alta",'Mapa final'!$AC$67="Moderado"),CONCATENATE("R10C",'Mapa final'!$Q$67),"")</f>
        <v/>
      </c>
      <c r="AA15" s="47" t="str">
        <f>IF(AND('Mapa final'!$AA$68="Muy Alta",'Mapa final'!$AC$68="Moderado"),CONCATENATE("R10C",'Mapa final'!$Q$68),"")</f>
        <v/>
      </c>
      <c r="AB15" s="38" t="str">
        <f>IF(AND('Mapa final'!$AA$63="Muy Alta",'Mapa final'!$AC$63="Mayor"),CONCATENATE("R10C",'Mapa final'!$Q$63),"")</f>
        <v/>
      </c>
      <c r="AC15" s="39" t="str">
        <f>IF(AND('Mapa final'!$AA$64="Muy Alta",'Mapa final'!$AC$64="Mayor"),CONCATENATE("R10C",'Mapa final'!$Q$64),"")</f>
        <v/>
      </c>
      <c r="AD15" s="39" t="str">
        <f>IF(AND('Mapa final'!$AA$65="Muy Alta",'Mapa final'!$AC$65="Mayor"),CONCATENATE("R10C",'Mapa final'!$Q$65),"")</f>
        <v/>
      </c>
      <c r="AE15" s="39" t="str">
        <f>IF(AND('Mapa final'!$AA$66="Muy Alta",'Mapa final'!$AC$66="Mayor"),CONCATENATE("R10C",'Mapa final'!$Q$66),"")</f>
        <v/>
      </c>
      <c r="AF15" s="39" t="str">
        <f>IF(AND('Mapa final'!$AA$67="Muy Alta",'Mapa final'!$AC$67="Mayor"),CONCATENATE("R10C",'Mapa final'!$Q$67),"")</f>
        <v/>
      </c>
      <c r="AG15" s="40" t="str">
        <f>IF(AND('Mapa final'!$AA$68="Muy Alta",'Mapa final'!$AC$68="Mayor"),CONCATENATE("R10C",'Mapa final'!$Q$68),"")</f>
        <v/>
      </c>
      <c r="AH15" s="48" t="str">
        <f>IF(AND('Mapa final'!$AA$63="Muy Alta",'Mapa final'!$AC$63="Catastrófico"),CONCATENATE("R10C",'Mapa final'!$Q$63),"")</f>
        <v/>
      </c>
      <c r="AI15" s="49" t="str">
        <f>IF(AND('Mapa final'!$AA$64="Muy Alta",'Mapa final'!$AC$64="Catastrófico"),CONCATENATE("R10C",'Mapa final'!$Q$64),"")</f>
        <v/>
      </c>
      <c r="AJ15" s="49" t="str">
        <f>IF(AND('Mapa final'!$AA$65="Muy Alta",'Mapa final'!$AC$65="Catastrófico"),CONCATENATE("R10C",'Mapa final'!$Q$65),"")</f>
        <v/>
      </c>
      <c r="AK15" s="49" t="str">
        <f>IF(AND('Mapa final'!$AA$66="Muy Alta",'Mapa final'!$AC$66="Catastrófico"),CONCATENATE("R10C",'Mapa final'!$Q$66),"")</f>
        <v/>
      </c>
      <c r="AL15" s="49" t="str">
        <f>IF(AND('Mapa final'!$AA$67="Muy Alta",'Mapa final'!$AC$67="Catastrófico"),CONCATENATE("R10C",'Mapa final'!$Q$67),"")</f>
        <v/>
      </c>
      <c r="AM15" s="50" t="str">
        <f>IF(AND('Mapa final'!$AA$68="Muy Alta",'Mapa final'!$AC$68="Catastrófico"),CONCATENATE("R10C",'Mapa final'!$Q$68),"")</f>
        <v/>
      </c>
      <c r="AN15" s="70"/>
      <c r="AO15" s="350"/>
      <c r="AP15" s="351"/>
      <c r="AQ15" s="351"/>
      <c r="AR15" s="351"/>
      <c r="AS15" s="351"/>
      <c r="AT15" s="35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39"/>
      <c r="C16" s="239"/>
      <c r="D16" s="240"/>
      <c r="E16" s="336" t="s">
        <v>111</v>
      </c>
      <c r="F16" s="337"/>
      <c r="G16" s="337"/>
      <c r="H16" s="337"/>
      <c r="I16" s="337"/>
      <c r="J16" s="51" t="str">
        <f>IF(AND('Mapa final'!$AA$9="Alta",'Mapa final'!$AC$9="Leve"),CONCATENATE("R1C",'Mapa final'!$Q$9),"")</f>
        <v/>
      </c>
      <c r="K16" s="52" t="str">
        <f>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IF(AND('Mapa final'!$AA$9="Alta",'Mapa final'!$AC$9="Menor"),CONCATENATE("R1C",'Mapa final'!$Q$9),"")</f>
        <v/>
      </c>
      <c r="Q16" s="52" t="str">
        <f>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IF(AND('Mapa final'!$AA$9="Alta",'Mapa final'!$AC$9="Moderado"),CONCATENATE("R1C",'Mapa final'!$Q$9),"")</f>
        <v/>
      </c>
      <c r="W16" s="33" t="str">
        <f>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IF(AND('Mapa final'!$AA$9="Alta",'Mapa final'!$AC$9="Mayor"),CONCATENATE("R1C",'Mapa final'!$Q$9),"")</f>
        <v/>
      </c>
      <c r="AC16" s="33" t="str">
        <f>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IF(AND('Mapa final'!$AA$9="Alta",'Mapa final'!$AC$9="Catastrófico"),CONCATENATE("R1C",'Mapa final'!$Q$9),"")</f>
        <v/>
      </c>
      <c r="AI16" s="36" t="str">
        <f>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27" t="s">
        <v>76</v>
      </c>
      <c r="AP16" s="328"/>
      <c r="AQ16" s="328"/>
      <c r="AR16" s="328"/>
      <c r="AS16" s="328"/>
      <c r="AT16" s="32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39"/>
      <c r="C17" s="239"/>
      <c r="D17" s="240"/>
      <c r="E17" s="338"/>
      <c r="F17" s="339"/>
      <c r="G17" s="339"/>
      <c r="H17" s="339"/>
      <c r="I17" s="339"/>
      <c r="J17" s="54" t="str">
        <f>IF(AND('Mapa final'!$AA$15="Alta",'Mapa final'!$AC$15="Leve"),CONCATENATE("R2C",'Mapa final'!$Q$15),"")</f>
        <v/>
      </c>
      <c r="K17" s="55" t="str">
        <f>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IF(AND('Mapa final'!$AA$15="Alta",'Mapa final'!$AC$15="Menor"),CONCATENATE("R2C",'Mapa final'!$Q$15),"")</f>
        <v/>
      </c>
      <c r="Q17" s="55" t="str">
        <f>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IF(AND('Mapa final'!$AA$15="Alta",'Mapa final'!$AC$15="Moderado"),CONCATENATE("R2C",'Mapa final'!$Q$15),"")</f>
        <v/>
      </c>
      <c r="W17" s="39" t="str">
        <f>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IF(AND('Mapa final'!$AA$15="Alta",'Mapa final'!$AC$15="Mayor"),CONCATENATE("R2C",'Mapa final'!$Q$15),"")</f>
        <v/>
      </c>
      <c r="AC17" s="39" t="str">
        <f>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IF(AND('Mapa final'!$AA$15="Alta",'Mapa final'!$AC$15="Catastrófico"),CONCATENATE("R2C",'Mapa final'!$Q$15),"")</f>
        <v/>
      </c>
      <c r="AI17" s="42" t="str">
        <f>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30"/>
      <c r="AP17" s="331"/>
      <c r="AQ17" s="331"/>
      <c r="AR17" s="331"/>
      <c r="AS17" s="331"/>
      <c r="AT17" s="33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39"/>
      <c r="C18" s="239"/>
      <c r="D18" s="240"/>
      <c r="E18" s="340"/>
      <c r="F18" s="341"/>
      <c r="G18" s="341"/>
      <c r="H18" s="341"/>
      <c r="I18" s="339"/>
      <c r="J18" s="54" t="str">
        <f>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30"/>
      <c r="AP18" s="331"/>
      <c r="AQ18" s="331"/>
      <c r="AR18" s="331"/>
      <c r="AS18" s="331"/>
      <c r="AT18" s="33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39"/>
      <c r="C19" s="239"/>
      <c r="D19" s="240"/>
      <c r="E19" s="340"/>
      <c r="F19" s="341"/>
      <c r="G19" s="341"/>
      <c r="H19" s="341"/>
      <c r="I19" s="339"/>
      <c r="J19" s="54" t="str">
        <f>IF(AND('Mapa final'!$AA$27="Alta",'Mapa final'!$AC$27="Leve"),CONCATENATE("R4C",'Mapa final'!$Q$27),"")</f>
        <v/>
      </c>
      <c r="K19" s="55" t="str">
        <f>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IF(AND('Mapa final'!$AA$27="Alta",'Mapa final'!$AC$27="Menor"),CONCATENATE("R4C",'Mapa final'!$Q$27),"")</f>
        <v/>
      </c>
      <c r="Q19" s="55" t="str">
        <f>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IF(AND('Mapa final'!$AA$27="Alta",'Mapa final'!$AC$27="Moderado"),CONCATENATE("R4C",'Mapa final'!$Q$27),"")</f>
        <v/>
      </c>
      <c r="W19" s="39" t="str">
        <f>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IF(AND('Mapa final'!$AA$27="Alta",'Mapa final'!$AC$27="Mayor"),CONCATENATE("R4C",'Mapa final'!$Q$27),"")</f>
        <v/>
      </c>
      <c r="AC19" s="39" t="str">
        <f>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IF(AND('Mapa final'!$AA$27="Alta",'Mapa final'!$AC$27="Catastrófico"),CONCATENATE("R4C",'Mapa final'!$Q$27),"")</f>
        <v/>
      </c>
      <c r="AI19" s="42" t="str">
        <f>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30"/>
      <c r="AP19" s="331"/>
      <c r="AQ19" s="331"/>
      <c r="AR19" s="331"/>
      <c r="AS19" s="331"/>
      <c r="AT19" s="33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39"/>
      <c r="C20" s="239"/>
      <c r="D20" s="240"/>
      <c r="E20" s="340"/>
      <c r="F20" s="341"/>
      <c r="G20" s="341"/>
      <c r="H20" s="341"/>
      <c r="I20" s="339"/>
      <c r="J20" s="54" t="str">
        <f>IF(AND('Mapa final'!$AA$33="Alta",'Mapa final'!$AC$33="Leve"),CONCATENATE("R5C",'Mapa final'!$Q$33),"")</f>
        <v/>
      </c>
      <c r="K20" s="55" t="str">
        <f>IF(AND('Mapa final'!$AA$34="Alta",'Mapa final'!$AC$34="Leve"),CONCATENATE("R5C",'Mapa final'!$Q$34),"")</f>
        <v/>
      </c>
      <c r="L20" s="55" t="str">
        <f>IF(AND('Mapa final'!$AA$35="Alta",'Mapa final'!$AC$35="Leve"),CONCATENATE("R5C",'Mapa final'!$Q$35),"")</f>
        <v/>
      </c>
      <c r="M20" s="55" t="str">
        <f>IF(AND('Mapa final'!$AA$36="Alta",'Mapa final'!$AC$36="Leve"),CONCATENATE("R5C",'Mapa final'!$Q$36),"")</f>
        <v/>
      </c>
      <c r="N20" s="55" t="str">
        <f>IF(AND('Mapa final'!$AA$37="Alta",'Mapa final'!$AC$37="Leve"),CONCATENATE("R5C",'Mapa final'!$Q$37),"")</f>
        <v/>
      </c>
      <c r="O20" s="56" t="str">
        <f>IF(AND('Mapa final'!$AA$38="Alta",'Mapa final'!$AC$38="Leve"),CONCATENATE("R5C",'Mapa final'!$Q$38),"")</f>
        <v/>
      </c>
      <c r="P20" s="54" t="str">
        <f>IF(AND('Mapa final'!$AA$33="Alta",'Mapa final'!$AC$33="Menor"),CONCATENATE("R5C",'Mapa final'!$Q$33),"")</f>
        <v/>
      </c>
      <c r="Q20" s="55" t="str">
        <f>IF(AND('Mapa final'!$AA$34="Alta",'Mapa final'!$AC$34="Menor"),CONCATENATE("R5C",'Mapa final'!$Q$34),"")</f>
        <v/>
      </c>
      <c r="R20" s="55" t="str">
        <f>IF(AND('Mapa final'!$AA$35="Alta",'Mapa final'!$AC$35="Menor"),CONCATENATE("R5C",'Mapa final'!$Q$35),"")</f>
        <v/>
      </c>
      <c r="S20" s="55" t="str">
        <f>IF(AND('Mapa final'!$AA$36="Alta",'Mapa final'!$AC$36="Menor"),CONCATENATE("R5C",'Mapa final'!$Q$36),"")</f>
        <v/>
      </c>
      <c r="T20" s="55" t="str">
        <f>IF(AND('Mapa final'!$AA$37="Alta",'Mapa final'!$AC$37="Menor"),CONCATENATE("R5C",'Mapa final'!$Q$37),"")</f>
        <v/>
      </c>
      <c r="U20" s="56" t="str">
        <f>IF(AND('Mapa final'!$AA$38="Alta",'Mapa final'!$AC$38="Menor"),CONCATENATE("R5C",'Mapa final'!$Q$38),"")</f>
        <v/>
      </c>
      <c r="V20" s="38" t="str">
        <f>IF(AND('Mapa final'!$AA$33="Alta",'Mapa final'!$AC$33="Moderado"),CONCATENATE("R5C",'Mapa final'!$Q$33),"")</f>
        <v/>
      </c>
      <c r="W20" s="39" t="str">
        <f>IF(AND('Mapa final'!$AA$34="Alta",'Mapa final'!$AC$34="Moderado"),CONCATENATE("R5C",'Mapa final'!$Q$34),"")</f>
        <v/>
      </c>
      <c r="X20" s="44" t="str">
        <f>IF(AND('Mapa final'!$AA$35="Alta",'Mapa final'!$AC$35="Moderado"),CONCATENATE("R5C",'Mapa final'!$Q$35),"")</f>
        <v/>
      </c>
      <c r="Y20" s="44" t="str">
        <f>IF(AND('Mapa final'!$AA$36="Alta",'Mapa final'!$AC$36="Moderado"),CONCATENATE("R5C",'Mapa final'!$Q$36),"")</f>
        <v/>
      </c>
      <c r="Z20" s="44" t="str">
        <f>IF(AND('Mapa final'!$AA$37="Alta",'Mapa final'!$AC$37="Moderado"),CONCATENATE("R5C",'Mapa final'!$Q$37),"")</f>
        <v/>
      </c>
      <c r="AA20" s="40" t="str">
        <f>IF(AND('Mapa final'!$AA$38="Alta",'Mapa final'!$AC$38="Moderado"),CONCATENATE("R5C",'Mapa final'!$Q$38),"")</f>
        <v/>
      </c>
      <c r="AB20" s="38" t="str">
        <f>IF(AND('Mapa final'!$AA$33="Alta",'Mapa final'!$AC$33="Mayor"),CONCATENATE("R5C",'Mapa final'!$Q$33),"")</f>
        <v/>
      </c>
      <c r="AC20" s="39" t="str">
        <f>IF(AND('Mapa final'!$AA$34="Alta",'Mapa final'!$AC$34="Mayor"),CONCATENATE("R5C",'Mapa final'!$Q$34),"")</f>
        <v/>
      </c>
      <c r="AD20" s="44" t="str">
        <f>IF(AND('Mapa final'!$AA$35="Alta",'Mapa final'!$AC$35="Mayor"),CONCATENATE("R5C",'Mapa final'!$Q$35),"")</f>
        <v/>
      </c>
      <c r="AE20" s="44" t="str">
        <f>IF(AND('Mapa final'!$AA$36="Alta",'Mapa final'!$AC$36="Mayor"),CONCATENATE("R5C",'Mapa final'!$Q$36),"")</f>
        <v/>
      </c>
      <c r="AF20" s="44" t="str">
        <f>IF(AND('Mapa final'!$AA$37="Alta",'Mapa final'!$AC$37="Mayor"),CONCATENATE("R5C",'Mapa final'!$Q$37),"")</f>
        <v/>
      </c>
      <c r="AG20" s="40" t="str">
        <f>IF(AND('Mapa final'!$AA$38="Alta",'Mapa final'!$AC$38="Mayor"),CONCATENATE("R5C",'Mapa final'!$Q$38),"")</f>
        <v/>
      </c>
      <c r="AH20" s="41" t="str">
        <f>IF(AND('Mapa final'!$AA$33="Alta",'Mapa final'!$AC$33="Catastrófico"),CONCATENATE("R5C",'Mapa final'!$Q$33),"")</f>
        <v/>
      </c>
      <c r="AI20" s="42" t="str">
        <f>IF(AND('Mapa final'!$AA$34="Alta",'Mapa final'!$AC$34="Catastrófico"),CONCATENATE("R5C",'Mapa final'!$Q$34),"")</f>
        <v/>
      </c>
      <c r="AJ20" s="42" t="str">
        <f>IF(AND('Mapa final'!$AA$35="Alta",'Mapa final'!$AC$35="Catastrófico"),CONCATENATE("R5C",'Mapa final'!$Q$35),"")</f>
        <v/>
      </c>
      <c r="AK20" s="42" t="str">
        <f>IF(AND('Mapa final'!$AA$36="Alta",'Mapa final'!$AC$36="Catastrófico"),CONCATENATE("R5C",'Mapa final'!$Q$36),"")</f>
        <v/>
      </c>
      <c r="AL20" s="42" t="str">
        <f>IF(AND('Mapa final'!$AA$37="Alta",'Mapa final'!$AC$37="Catastrófico"),CONCATENATE("R5C",'Mapa final'!$Q$37),"")</f>
        <v/>
      </c>
      <c r="AM20" s="43" t="str">
        <f>IF(AND('Mapa final'!$AA$38="Alta",'Mapa final'!$AC$38="Catastrófico"),CONCATENATE("R5C",'Mapa final'!$Q$38),"")</f>
        <v/>
      </c>
      <c r="AN20" s="70"/>
      <c r="AO20" s="330"/>
      <c r="AP20" s="331"/>
      <c r="AQ20" s="331"/>
      <c r="AR20" s="331"/>
      <c r="AS20" s="331"/>
      <c r="AT20" s="33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39"/>
      <c r="C21" s="239"/>
      <c r="D21" s="240"/>
      <c r="E21" s="340"/>
      <c r="F21" s="341"/>
      <c r="G21" s="341"/>
      <c r="H21" s="341"/>
      <c r="I21" s="339"/>
      <c r="J21" s="54" t="str">
        <f>IF(AND('Mapa final'!$AA$39="Alta",'Mapa final'!$AC$39="Leve"),CONCATENATE("R6C",'Mapa final'!$Q$39),"")</f>
        <v/>
      </c>
      <c r="K21" s="55" t="str">
        <f>IF(AND('Mapa final'!$AA$40="Alta",'Mapa final'!$AC$40="Leve"),CONCATENATE("R6C",'Mapa final'!$Q$40),"")</f>
        <v/>
      </c>
      <c r="L21" s="55" t="str">
        <f>IF(AND('Mapa final'!$AA$41="Alta",'Mapa final'!$AC$41="Leve"),CONCATENATE("R6C",'Mapa final'!$Q$41),"")</f>
        <v/>
      </c>
      <c r="M21" s="55" t="str">
        <f>IF(AND('Mapa final'!$AA$42="Alta",'Mapa final'!$AC$42="Leve"),CONCATENATE("R6C",'Mapa final'!$Q$42),"")</f>
        <v/>
      </c>
      <c r="N21" s="55" t="str">
        <f>IF(AND('Mapa final'!$AA$43="Alta",'Mapa final'!$AC$43="Leve"),CONCATENATE("R6C",'Mapa final'!$Q$43),"")</f>
        <v/>
      </c>
      <c r="O21" s="56" t="str">
        <f>IF(AND('Mapa final'!$AA$44="Alta",'Mapa final'!$AC$44="Leve"),CONCATENATE("R6C",'Mapa final'!$Q$44),"")</f>
        <v/>
      </c>
      <c r="P21" s="54" t="str">
        <f>IF(AND('Mapa final'!$AA$39="Alta",'Mapa final'!$AC$39="Menor"),CONCATENATE("R6C",'Mapa final'!$Q$39),"")</f>
        <v/>
      </c>
      <c r="Q21" s="55" t="str">
        <f>IF(AND('Mapa final'!$AA$40="Alta",'Mapa final'!$AC$40="Menor"),CONCATENATE("R6C",'Mapa final'!$Q$40),"")</f>
        <v/>
      </c>
      <c r="R21" s="55" t="str">
        <f>IF(AND('Mapa final'!$AA$41="Alta",'Mapa final'!$AC$41="Menor"),CONCATENATE("R6C",'Mapa final'!$Q$41),"")</f>
        <v/>
      </c>
      <c r="S21" s="55" t="str">
        <f>IF(AND('Mapa final'!$AA$42="Alta",'Mapa final'!$AC$42="Menor"),CONCATENATE("R6C",'Mapa final'!$Q$42),"")</f>
        <v/>
      </c>
      <c r="T21" s="55" t="str">
        <f>IF(AND('Mapa final'!$AA$43="Alta",'Mapa final'!$AC$43="Menor"),CONCATENATE("R6C",'Mapa final'!$Q$43),"")</f>
        <v/>
      </c>
      <c r="U21" s="56" t="str">
        <f>IF(AND('Mapa final'!$AA$44="Alta",'Mapa final'!$AC$44="Menor"),CONCATENATE("R6C",'Mapa final'!$Q$44),"")</f>
        <v/>
      </c>
      <c r="V21" s="38" t="str">
        <f>IF(AND('Mapa final'!$AA$39="Alta",'Mapa final'!$AC$39="Moderado"),CONCATENATE("R6C",'Mapa final'!$Q$39),"")</f>
        <v/>
      </c>
      <c r="W21" s="39" t="str">
        <f>IF(AND('Mapa final'!$AA$40="Alta",'Mapa final'!$AC$40="Moderado"),CONCATENATE("R6C",'Mapa final'!$Q$40),"")</f>
        <v/>
      </c>
      <c r="X21" s="44" t="str">
        <f>IF(AND('Mapa final'!$AA$41="Alta",'Mapa final'!$AC$41="Moderado"),CONCATENATE("R6C",'Mapa final'!$Q$41),"")</f>
        <v/>
      </c>
      <c r="Y21" s="44" t="str">
        <f>IF(AND('Mapa final'!$AA$42="Alta",'Mapa final'!$AC$42="Moderado"),CONCATENATE("R6C",'Mapa final'!$Q$42),"")</f>
        <v/>
      </c>
      <c r="Z21" s="44" t="str">
        <f>IF(AND('Mapa final'!$AA$43="Alta",'Mapa final'!$AC$43="Moderado"),CONCATENATE("R6C",'Mapa final'!$Q$43),"")</f>
        <v/>
      </c>
      <c r="AA21" s="40" t="str">
        <f>IF(AND('Mapa final'!$AA$44="Alta",'Mapa final'!$AC$44="Moderado"),CONCATENATE("R6C",'Mapa final'!$Q$44),"")</f>
        <v/>
      </c>
      <c r="AB21" s="38" t="str">
        <f>IF(AND('Mapa final'!$AA$39="Alta",'Mapa final'!$AC$39="Mayor"),CONCATENATE("R6C",'Mapa final'!$Q$39),"")</f>
        <v/>
      </c>
      <c r="AC21" s="39" t="str">
        <f>IF(AND('Mapa final'!$AA$40="Alta",'Mapa final'!$AC$40="Mayor"),CONCATENATE("R6C",'Mapa final'!$Q$40),"")</f>
        <v/>
      </c>
      <c r="AD21" s="44" t="str">
        <f>IF(AND('Mapa final'!$AA$41="Alta",'Mapa final'!$AC$41="Mayor"),CONCATENATE("R6C",'Mapa final'!$Q$41),"")</f>
        <v/>
      </c>
      <c r="AE21" s="44" t="str">
        <f>IF(AND('Mapa final'!$AA$42="Alta",'Mapa final'!$AC$42="Mayor"),CONCATENATE("R6C",'Mapa final'!$Q$42),"")</f>
        <v/>
      </c>
      <c r="AF21" s="44" t="str">
        <f>IF(AND('Mapa final'!$AA$43="Alta",'Mapa final'!$AC$43="Mayor"),CONCATENATE("R6C",'Mapa final'!$Q$43),"")</f>
        <v/>
      </c>
      <c r="AG21" s="40" t="str">
        <f>IF(AND('Mapa final'!$AA$44="Alta",'Mapa final'!$AC$44="Mayor"),CONCATENATE("R6C",'Mapa final'!$Q$44),"")</f>
        <v/>
      </c>
      <c r="AH21" s="41" t="str">
        <f>IF(AND('Mapa final'!$AA$39="Alta",'Mapa final'!$AC$39="Catastrófico"),CONCATENATE("R6C",'Mapa final'!$Q$39),"")</f>
        <v/>
      </c>
      <c r="AI21" s="42" t="str">
        <f>IF(AND('Mapa final'!$AA$40="Alta",'Mapa final'!$AC$40="Catastrófico"),CONCATENATE("R6C",'Mapa final'!$Q$40),"")</f>
        <v/>
      </c>
      <c r="AJ21" s="42" t="str">
        <f>IF(AND('Mapa final'!$AA$41="Alta",'Mapa final'!$AC$41="Catastrófico"),CONCATENATE("R6C",'Mapa final'!$Q$41),"")</f>
        <v/>
      </c>
      <c r="AK21" s="42" t="str">
        <f>IF(AND('Mapa final'!$AA$42="Alta",'Mapa final'!$AC$42="Catastrófico"),CONCATENATE("R6C",'Mapa final'!$Q$42),"")</f>
        <v/>
      </c>
      <c r="AL21" s="42" t="str">
        <f>IF(AND('Mapa final'!$AA$43="Alta",'Mapa final'!$AC$43="Catastrófico"),CONCATENATE("R6C",'Mapa final'!$Q$43),"")</f>
        <v/>
      </c>
      <c r="AM21" s="43" t="str">
        <f>IF(AND('Mapa final'!$AA$44="Alta",'Mapa final'!$AC$44="Catastrófico"),CONCATENATE("R6C",'Mapa final'!$Q$44),"")</f>
        <v/>
      </c>
      <c r="AN21" s="70"/>
      <c r="AO21" s="330"/>
      <c r="AP21" s="331"/>
      <c r="AQ21" s="331"/>
      <c r="AR21" s="331"/>
      <c r="AS21" s="331"/>
      <c r="AT21" s="33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39"/>
      <c r="C22" s="239"/>
      <c r="D22" s="240"/>
      <c r="E22" s="340"/>
      <c r="F22" s="341"/>
      <c r="G22" s="341"/>
      <c r="H22" s="341"/>
      <c r="I22" s="339"/>
      <c r="J22" s="54" t="str">
        <f>IF(AND('Mapa final'!$AA$45="Alta",'Mapa final'!$AC$45="Leve"),CONCATENATE("R7C",'Mapa final'!$Q$45),"")</f>
        <v/>
      </c>
      <c r="K22" s="55" t="str">
        <f>IF(AND('Mapa final'!$AA$46="Alta",'Mapa final'!$AC$46="Leve"),CONCATENATE("R7C",'Mapa final'!$Q$46),"")</f>
        <v/>
      </c>
      <c r="L22" s="55" t="str">
        <f>IF(AND('Mapa final'!$AA$47="Alta",'Mapa final'!$AC$47="Leve"),CONCATENATE("R7C",'Mapa final'!$Q$47),"")</f>
        <v/>
      </c>
      <c r="M22" s="55" t="str">
        <f>IF(AND('Mapa final'!$AA$48="Alta",'Mapa final'!$AC$48="Leve"),CONCATENATE("R7C",'Mapa final'!$Q$48),"")</f>
        <v/>
      </c>
      <c r="N22" s="55" t="str">
        <f>IF(AND('Mapa final'!$AA$49="Alta",'Mapa final'!$AC$49="Leve"),CONCATENATE("R7C",'Mapa final'!$Q$49),"")</f>
        <v/>
      </c>
      <c r="O22" s="56" t="str">
        <f>IF(AND('Mapa final'!$AA$50="Alta",'Mapa final'!$AC$50="Leve"),CONCATENATE("R7C",'Mapa final'!$Q$50),"")</f>
        <v/>
      </c>
      <c r="P22" s="54" t="str">
        <f>IF(AND('Mapa final'!$AA$45="Alta",'Mapa final'!$AC$45="Menor"),CONCATENATE("R7C",'Mapa final'!$Q$45),"")</f>
        <v/>
      </c>
      <c r="Q22" s="55" t="str">
        <f>IF(AND('Mapa final'!$AA$46="Alta",'Mapa final'!$AC$46="Menor"),CONCATENATE("R7C",'Mapa final'!$Q$46),"")</f>
        <v/>
      </c>
      <c r="R22" s="55" t="str">
        <f>IF(AND('Mapa final'!$AA$47="Alta",'Mapa final'!$AC$47="Menor"),CONCATENATE("R7C",'Mapa final'!$Q$47),"")</f>
        <v/>
      </c>
      <c r="S22" s="55" t="str">
        <f>IF(AND('Mapa final'!$AA$48="Alta",'Mapa final'!$AC$48="Menor"),CONCATENATE("R7C",'Mapa final'!$Q$48),"")</f>
        <v/>
      </c>
      <c r="T22" s="55" t="str">
        <f>IF(AND('Mapa final'!$AA$49="Alta",'Mapa final'!$AC$49="Menor"),CONCATENATE("R7C",'Mapa final'!$Q$49),"")</f>
        <v/>
      </c>
      <c r="U22" s="56" t="str">
        <f>IF(AND('Mapa final'!$AA$50="Alta",'Mapa final'!$AC$50="Menor"),CONCATENATE("R7C",'Mapa final'!$Q$50),"")</f>
        <v/>
      </c>
      <c r="V22" s="38" t="str">
        <f>IF(AND('Mapa final'!$AA$45="Alta",'Mapa final'!$AC$45="Moderado"),CONCATENATE("R7C",'Mapa final'!$Q$45),"")</f>
        <v/>
      </c>
      <c r="W22" s="39" t="str">
        <f>IF(AND('Mapa final'!$AA$46="Alta",'Mapa final'!$AC$46="Moderado"),CONCATENATE("R7C",'Mapa final'!$Q$46),"")</f>
        <v/>
      </c>
      <c r="X22" s="44" t="str">
        <f>IF(AND('Mapa final'!$AA$47="Alta",'Mapa final'!$AC$47="Moderado"),CONCATENATE("R7C",'Mapa final'!$Q$47),"")</f>
        <v/>
      </c>
      <c r="Y22" s="44" t="str">
        <f>IF(AND('Mapa final'!$AA$48="Alta",'Mapa final'!$AC$48="Moderado"),CONCATENATE("R7C",'Mapa final'!$Q$48),"")</f>
        <v/>
      </c>
      <c r="Z22" s="44" t="str">
        <f>IF(AND('Mapa final'!$AA$49="Alta",'Mapa final'!$AC$49="Moderado"),CONCATENATE("R7C",'Mapa final'!$Q$49),"")</f>
        <v/>
      </c>
      <c r="AA22" s="40" t="str">
        <f>IF(AND('Mapa final'!$AA$50="Alta",'Mapa final'!$AC$50="Moderado"),CONCATENATE("R7C",'Mapa final'!$Q$50),"")</f>
        <v/>
      </c>
      <c r="AB22" s="38" t="str">
        <f>IF(AND('Mapa final'!$AA$45="Alta",'Mapa final'!$AC$45="Mayor"),CONCATENATE("R7C",'Mapa final'!$Q$45),"")</f>
        <v/>
      </c>
      <c r="AC22" s="39" t="str">
        <f>IF(AND('Mapa final'!$AA$46="Alta",'Mapa final'!$AC$46="Mayor"),CONCATENATE("R7C",'Mapa final'!$Q$46),"")</f>
        <v/>
      </c>
      <c r="AD22" s="44" t="str">
        <f>IF(AND('Mapa final'!$AA$47="Alta",'Mapa final'!$AC$47="Mayor"),CONCATENATE("R7C",'Mapa final'!$Q$47),"")</f>
        <v/>
      </c>
      <c r="AE22" s="44" t="str">
        <f>IF(AND('Mapa final'!$AA$48="Alta",'Mapa final'!$AC$48="Mayor"),CONCATENATE("R7C",'Mapa final'!$Q$48),"")</f>
        <v/>
      </c>
      <c r="AF22" s="44" t="str">
        <f>IF(AND('Mapa final'!$AA$49="Alta",'Mapa final'!$AC$49="Mayor"),CONCATENATE("R7C",'Mapa final'!$Q$49),"")</f>
        <v/>
      </c>
      <c r="AG22" s="40" t="str">
        <f>IF(AND('Mapa final'!$AA$50="Alta",'Mapa final'!$AC$50="Mayor"),CONCATENATE("R7C",'Mapa final'!$Q$50),"")</f>
        <v/>
      </c>
      <c r="AH22" s="41" t="str">
        <f>IF(AND('Mapa final'!$AA$45="Alta",'Mapa final'!$AC$45="Catastrófico"),CONCATENATE("R7C",'Mapa final'!$Q$45),"")</f>
        <v/>
      </c>
      <c r="AI22" s="42" t="str">
        <f>IF(AND('Mapa final'!$AA$46="Alta",'Mapa final'!$AC$46="Catastrófico"),CONCATENATE("R7C",'Mapa final'!$Q$46),"")</f>
        <v/>
      </c>
      <c r="AJ22" s="42" t="str">
        <f>IF(AND('Mapa final'!$AA$47="Alta",'Mapa final'!$AC$47="Catastrófico"),CONCATENATE("R7C",'Mapa final'!$Q$47),"")</f>
        <v/>
      </c>
      <c r="AK22" s="42" t="str">
        <f>IF(AND('Mapa final'!$AA$48="Alta",'Mapa final'!$AC$48="Catastrófico"),CONCATENATE("R7C",'Mapa final'!$Q$48),"")</f>
        <v/>
      </c>
      <c r="AL22" s="42" t="str">
        <f>IF(AND('Mapa final'!$AA$49="Alta",'Mapa final'!$AC$49="Catastrófico"),CONCATENATE("R7C",'Mapa final'!$Q$49),"")</f>
        <v/>
      </c>
      <c r="AM22" s="43" t="str">
        <f>IF(AND('Mapa final'!$AA$50="Alta",'Mapa final'!$AC$50="Catastrófico"),CONCATENATE("R7C",'Mapa final'!$Q$50),"")</f>
        <v/>
      </c>
      <c r="AN22" s="70"/>
      <c r="AO22" s="330"/>
      <c r="AP22" s="331"/>
      <c r="AQ22" s="331"/>
      <c r="AR22" s="331"/>
      <c r="AS22" s="331"/>
      <c r="AT22" s="33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39"/>
      <c r="C23" s="239"/>
      <c r="D23" s="240"/>
      <c r="E23" s="340"/>
      <c r="F23" s="341"/>
      <c r="G23" s="341"/>
      <c r="H23" s="341"/>
      <c r="I23" s="339"/>
      <c r="J23" s="54" t="str">
        <f>IF(AND('Mapa final'!$AA$51="Alta",'Mapa final'!$AC$51="Leve"),CONCATENATE("R8C",'Mapa final'!$Q$51),"")</f>
        <v/>
      </c>
      <c r="K23" s="55" t="str">
        <f>IF(AND('Mapa final'!$AA$52="Alta",'Mapa final'!$AC$52="Leve"),CONCATENATE("R8C",'Mapa final'!$Q$52),"")</f>
        <v/>
      </c>
      <c r="L23" s="55" t="str">
        <f>IF(AND('Mapa final'!$AA$53="Alta",'Mapa final'!$AC$53="Leve"),CONCATENATE("R8C",'Mapa final'!$Q$53),"")</f>
        <v/>
      </c>
      <c r="M23" s="55" t="str">
        <f>IF(AND('Mapa final'!$AA$54="Alta",'Mapa final'!$AC$54="Leve"),CONCATENATE("R8C",'Mapa final'!$Q$54),"")</f>
        <v/>
      </c>
      <c r="N23" s="55" t="str">
        <f>IF(AND('Mapa final'!$AA$55="Alta",'Mapa final'!$AC$55="Leve"),CONCATENATE("R8C",'Mapa final'!$Q$55),"")</f>
        <v/>
      </c>
      <c r="O23" s="56" t="str">
        <f>IF(AND('Mapa final'!$AA$56="Alta",'Mapa final'!$AC$56="Leve"),CONCATENATE("R8C",'Mapa final'!$Q$56),"")</f>
        <v/>
      </c>
      <c r="P23" s="54" t="str">
        <f>IF(AND('Mapa final'!$AA$51="Alta",'Mapa final'!$AC$51="Menor"),CONCATENATE("R8C",'Mapa final'!$Q$51),"")</f>
        <v/>
      </c>
      <c r="Q23" s="55" t="str">
        <f>IF(AND('Mapa final'!$AA$52="Alta",'Mapa final'!$AC$52="Menor"),CONCATENATE("R8C",'Mapa final'!$Q$52),"")</f>
        <v/>
      </c>
      <c r="R23" s="55" t="str">
        <f>IF(AND('Mapa final'!$AA$53="Alta",'Mapa final'!$AC$53="Menor"),CONCATENATE("R8C",'Mapa final'!$Q$53),"")</f>
        <v/>
      </c>
      <c r="S23" s="55" t="str">
        <f>IF(AND('Mapa final'!$AA$54="Alta",'Mapa final'!$AC$54="Menor"),CONCATENATE("R8C",'Mapa final'!$Q$54),"")</f>
        <v/>
      </c>
      <c r="T23" s="55" t="str">
        <f>IF(AND('Mapa final'!$AA$55="Alta",'Mapa final'!$AC$55="Menor"),CONCATENATE("R8C",'Mapa final'!$Q$55),"")</f>
        <v/>
      </c>
      <c r="U23" s="56" t="str">
        <f>IF(AND('Mapa final'!$AA$56="Alta",'Mapa final'!$AC$56="Menor"),CONCATENATE("R8C",'Mapa final'!$Q$56),"")</f>
        <v/>
      </c>
      <c r="V23" s="38" t="str">
        <f>IF(AND('Mapa final'!$AA$51="Alta",'Mapa final'!$AC$51="Moderado"),CONCATENATE("R8C",'Mapa final'!$Q$51),"")</f>
        <v/>
      </c>
      <c r="W23" s="39" t="str">
        <f>IF(AND('Mapa final'!$AA$52="Alta",'Mapa final'!$AC$52="Moderado"),CONCATENATE("R8C",'Mapa final'!$Q$52),"")</f>
        <v/>
      </c>
      <c r="X23" s="44" t="str">
        <f>IF(AND('Mapa final'!$AA$53="Alta",'Mapa final'!$AC$53="Moderado"),CONCATENATE("R8C",'Mapa final'!$Q$53),"")</f>
        <v/>
      </c>
      <c r="Y23" s="44" t="str">
        <f>IF(AND('Mapa final'!$AA$54="Alta",'Mapa final'!$AC$54="Moderado"),CONCATENATE("R8C",'Mapa final'!$Q$54),"")</f>
        <v/>
      </c>
      <c r="Z23" s="44" t="str">
        <f>IF(AND('Mapa final'!$AA$55="Alta",'Mapa final'!$AC$55="Moderado"),CONCATENATE("R8C",'Mapa final'!$Q$55),"")</f>
        <v/>
      </c>
      <c r="AA23" s="40" t="str">
        <f>IF(AND('Mapa final'!$AA$56="Alta",'Mapa final'!$AC$56="Moderado"),CONCATENATE("R8C",'Mapa final'!$Q$56),"")</f>
        <v/>
      </c>
      <c r="AB23" s="38" t="str">
        <f>IF(AND('Mapa final'!$AA$51="Alta",'Mapa final'!$AC$51="Mayor"),CONCATENATE("R8C",'Mapa final'!$Q$51),"")</f>
        <v/>
      </c>
      <c r="AC23" s="39" t="str">
        <f>IF(AND('Mapa final'!$AA$52="Alta",'Mapa final'!$AC$52="Mayor"),CONCATENATE("R8C",'Mapa final'!$Q$52),"")</f>
        <v/>
      </c>
      <c r="AD23" s="44" t="str">
        <f>IF(AND('Mapa final'!$AA$53="Alta",'Mapa final'!$AC$53="Mayor"),CONCATENATE("R8C",'Mapa final'!$Q$53),"")</f>
        <v/>
      </c>
      <c r="AE23" s="44" t="str">
        <f>IF(AND('Mapa final'!$AA$54="Alta",'Mapa final'!$AC$54="Mayor"),CONCATENATE("R8C",'Mapa final'!$Q$54),"")</f>
        <v/>
      </c>
      <c r="AF23" s="44" t="str">
        <f>IF(AND('Mapa final'!$AA$55="Alta",'Mapa final'!$AC$55="Mayor"),CONCATENATE("R8C",'Mapa final'!$Q$55),"")</f>
        <v/>
      </c>
      <c r="AG23" s="40" t="str">
        <f>IF(AND('Mapa final'!$AA$56="Alta",'Mapa final'!$AC$56="Mayor"),CONCATENATE("R8C",'Mapa final'!$Q$56),"")</f>
        <v/>
      </c>
      <c r="AH23" s="41" t="str">
        <f>IF(AND('Mapa final'!$AA$51="Alta",'Mapa final'!$AC$51="Catastrófico"),CONCATENATE("R8C",'Mapa final'!$Q$51),"")</f>
        <v/>
      </c>
      <c r="AI23" s="42" t="str">
        <f>IF(AND('Mapa final'!$AA$52="Alta",'Mapa final'!$AC$52="Catastrófico"),CONCATENATE("R8C",'Mapa final'!$Q$52),"")</f>
        <v/>
      </c>
      <c r="AJ23" s="42" t="str">
        <f>IF(AND('Mapa final'!$AA$53="Alta",'Mapa final'!$AC$53="Catastrófico"),CONCATENATE("R8C",'Mapa final'!$Q$53),"")</f>
        <v/>
      </c>
      <c r="AK23" s="42" t="str">
        <f>IF(AND('Mapa final'!$AA$54="Alta",'Mapa final'!$AC$54="Catastrófico"),CONCATENATE("R8C",'Mapa final'!$Q$54),"")</f>
        <v/>
      </c>
      <c r="AL23" s="42" t="str">
        <f>IF(AND('Mapa final'!$AA$55="Alta",'Mapa final'!$AC$55="Catastrófico"),CONCATENATE("R8C",'Mapa final'!$Q$55),"")</f>
        <v/>
      </c>
      <c r="AM23" s="43" t="str">
        <f>IF(AND('Mapa final'!$AA$56="Alta",'Mapa final'!$AC$56="Catastrófico"),CONCATENATE("R8C",'Mapa final'!$Q$56),"")</f>
        <v/>
      </c>
      <c r="AN23" s="70"/>
      <c r="AO23" s="330"/>
      <c r="AP23" s="331"/>
      <c r="AQ23" s="331"/>
      <c r="AR23" s="331"/>
      <c r="AS23" s="331"/>
      <c r="AT23" s="33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39"/>
      <c r="C24" s="239"/>
      <c r="D24" s="240"/>
      <c r="E24" s="340"/>
      <c r="F24" s="341"/>
      <c r="G24" s="341"/>
      <c r="H24" s="341"/>
      <c r="I24" s="339"/>
      <c r="J24" s="54" t="str">
        <f>IF(AND('Mapa final'!$AA$57="Alta",'Mapa final'!$AC$57="Leve"),CONCATENATE("R9C",'Mapa final'!$Q$57),"")</f>
        <v/>
      </c>
      <c r="K24" s="55" t="str">
        <f>IF(AND('Mapa final'!$AA$58="Alta",'Mapa final'!$AC$58="Leve"),CONCATENATE("R9C",'Mapa final'!$Q$58),"")</f>
        <v/>
      </c>
      <c r="L24" s="55" t="str">
        <f>IF(AND('Mapa final'!$AA$59="Alta",'Mapa final'!$AC$59="Leve"),CONCATENATE("R9C",'Mapa final'!$Q$59),"")</f>
        <v/>
      </c>
      <c r="M24" s="55" t="str">
        <f>IF(AND('Mapa final'!$AA$60="Alta",'Mapa final'!$AC$60="Leve"),CONCATENATE("R9C",'Mapa final'!$Q$60),"")</f>
        <v/>
      </c>
      <c r="N24" s="55" t="str">
        <f>IF(AND('Mapa final'!$AA$61="Alta",'Mapa final'!$AC$61="Leve"),CONCATENATE("R9C",'Mapa final'!$Q$61),"")</f>
        <v/>
      </c>
      <c r="O24" s="56" t="str">
        <f>IF(AND('Mapa final'!$AA$62="Alta",'Mapa final'!$AC$62="Leve"),CONCATENATE("R9C",'Mapa final'!$Q$62),"")</f>
        <v/>
      </c>
      <c r="P24" s="54" t="str">
        <f>IF(AND('Mapa final'!$AA$57="Alta",'Mapa final'!$AC$57="Menor"),CONCATENATE("R9C",'Mapa final'!$Q$57),"")</f>
        <v/>
      </c>
      <c r="Q24" s="55" t="str">
        <f>IF(AND('Mapa final'!$AA$58="Alta",'Mapa final'!$AC$58="Menor"),CONCATENATE("R9C",'Mapa final'!$Q$58),"")</f>
        <v/>
      </c>
      <c r="R24" s="55" t="str">
        <f>IF(AND('Mapa final'!$AA$59="Alta",'Mapa final'!$AC$59="Menor"),CONCATENATE("R9C",'Mapa final'!$Q$59),"")</f>
        <v/>
      </c>
      <c r="S24" s="55" t="str">
        <f>IF(AND('Mapa final'!$AA$60="Alta",'Mapa final'!$AC$60="Menor"),CONCATENATE("R9C",'Mapa final'!$Q$60),"")</f>
        <v/>
      </c>
      <c r="T24" s="55" t="str">
        <f>IF(AND('Mapa final'!$AA$61="Alta",'Mapa final'!$AC$61="Menor"),CONCATENATE("R9C",'Mapa final'!$Q$61),"")</f>
        <v/>
      </c>
      <c r="U24" s="56" t="str">
        <f>IF(AND('Mapa final'!$AA$62="Alta",'Mapa final'!$AC$62="Menor"),CONCATENATE("R9C",'Mapa final'!$Q$62),"")</f>
        <v/>
      </c>
      <c r="V24" s="38" t="str">
        <f>IF(AND('Mapa final'!$AA$57="Alta",'Mapa final'!$AC$57="Moderado"),CONCATENATE("R9C",'Mapa final'!$Q$57),"")</f>
        <v/>
      </c>
      <c r="W24" s="39" t="str">
        <f>IF(AND('Mapa final'!$AA$58="Alta",'Mapa final'!$AC$58="Moderado"),CONCATENATE("R9C",'Mapa final'!$Q$58),"")</f>
        <v/>
      </c>
      <c r="X24" s="44" t="str">
        <f>IF(AND('Mapa final'!$AA$59="Alta",'Mapa final'!$AC$59="Moderado"),CONCATENATE("R9C",'Mapa final'!$Q$59),"")</f>
        <v/>
      </c>
      <c r="Y24" s="44" t="str">
        <f>IF(AND('Mapa final'!$AA$60="Alta",'Mapa final'!$AC$60="Moderado"),CONCATENATE("R9C",'Mapa final'!$Q$60),"")</f>
        <v/>
      </c>
      <c r="Z24" s="44" t="str">
        <f>IF(AND('Mapa final'!$AA$61="Alta",'Mapa final'!$AC$61="Moderado"),CONCATENATE("R9C",'Mapa final'!$Q$61),"")</f>
        <v/>
      </c>
      <c r="AA24" s="40" t="str">
        <f>IF(AND('Mapa final'!$AA$62="Alta",'Mapa final'!$AC$62="Moderado"),CONCATENATE("R9C",'Mapa final'!$Q$62),"")</f>
        <v/>
      </c>
      <c r="AB24" s="38" t="str">
        <f>IF(AND('Mapa final'!$AA$57="Alta",'Mapa final'!$AC$57="Mayor"),CONCATENATE("R9C",'Mapa final'!$Q$57),"")</f>
        <v/>
      </c>
      <c r="AC24" s="39" t="str">
        <f>IF(AND('Mapa final'!$AA$58="Alta",'Mapa final'!$AC$58="Mayor"),CONCATENATE("R9C",'Mapa final'!$Q$58),"")</f>
        <v/>
      </c>
      <c r="AD24" s="44" t="str">
        <f>IF(AND('Mapa final'!$AA$59="Alta",'Mapa final'!$AC$59="Mayor"),CONCATENATE("R9C",'Mapa final'!$Q$59),"")</f>
        <v/>
      </c>
      <c r="AE24" s="44" t="str">
        <f>IF(AND('Mapa final'!$AA$60="Alta",'Mapa final'!$AC$60="Mayor"),CONCATENATE("R9C",'Mapa final'!$Q$60),"")</f>
        <v/>
      </c>
      <c r="AF24" s="44" t="str">
        <f>IF(AND('Mapa final'!$AA$61="Alta",'Mapa final'!$AC$61="Mayor"),CONCATENATE("R9C",'Mapa final'!$Q$61),"")</f>
        <v/>
      </c>
      <c r="AG24" s="40" t="str">
        <f>IF(AND('Mapa final'!$AA$62="Alta",'Mapa final'!$AC$62="Mayor"),CONCATENATE("R9C",'Mapa final'!$Q$62),"")</f>
        <v/>
      </c>
      <c r="AH24" s="41" t="str">
        <f>IF(AND('Mapa final'!$AA$57="Alta",'Mapa final'!$AC$57="Catastrófico"),CONCATENATE("R9C",'Mapa final'!$Q$57),"")</f>
        <v/>
      </c>
      <c r="AI24" s="42" t="str">
        <f>IF(AND('Mapa final'!$AA$58="Alta",'Mapa final'!$AC$58="Catastrófico"),CONCATENATE("R9C",'Mapa final'!$Q$58),"")</f>
        <v/>
      </c>
      <c r="AJ24" s="42" t="str">
        <f>IF(AND('Mapa final'!$AA$59="Alta",'Mapa final'!$AC$59="Catastrófico"),CONCATENATE("R9C",'Mapa final'!$Q$59),"")</f>
        <v/>
      </c>
      <c r="AK24" s="42" t="str">
        <f>IF(AND('Mapa final'!$AA$60="Alta",'Mapa final'!$AC$60="Catastrófico"),CONCATENATE("R9C",'Mapa final'!$Q$60),"")</f>
        <v/>
      </c>
      <c r="AL24" s="42" t="str">
        <f>IF(AND('Mapa final'!$AA$61="Alta",'Mapa final'!$AC$61="Catastrófico"),CONCATENATE("R9C",'Mapa final'!$Q$61),"")</f>
        <v/>
      </c>
      <c r="AM24" s="43" t="str">
        <f>IF(AND('Mapa final'!$AA$62="Alta",'Mapa final'!$AC$62="Catastrófico"),CONCATENATE("R9C",'Mapa final'!$Q$62),"")</f>
        <v/>
      </c>
      <c r="AN24" s="70"/>
      <c r="AO24" s="330"/>
      <c r="AP24" s="331"/>
      <c r="AQ24" s="331"/>
      <c r="AR24" s="331"/>
      <c r="AS24" s="331"/>
      <c r="AT24" s="33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39"/>
      <c r="C25" s="239"/>
      <c r="D25" s="240"/>
      <c r="E25" s="342"/>
      <c r="F25" s="343"/>
      <c r="G25" s="343"/>
      <c r="H25" s="343"/>
      <c r="I25" s="343"/>
      <c r="J25" s="57" t="str">
        <f>IF(AND('Mapa final'!$AA$63="Alta",'Mapa final'!$AC$63="Leve"),CONCATENATE("R10C",'Mapa final'!$Q$63),"")</f>
        <v/>
      </c>
      <c r="K25" s="58" t="str">
        <f>IF(AND('Mapa final'!$AA$64="Alta",'Mapa final'!$AC$64="Leve"),CONCATENATE("R10C",'Mapa final'!$Q$64),"")</f>
        <v/>
      </c>
      <c r="L25" s="58" t="str">
        <f>IF(AND('Mapa final'!$AA$65="Alta",'Mapa final'!$AC$65="Leve"),CONCATENATE("R10C",'Mapa final'!$Q$65),"")</f>
        <v/>
      </c>
      <c r="M25" s="58" t="str">
        <f>IF(AND('Mapa final'!$AA$66="Alta",'Mapa final'!$AC$66="Leve"),CONCATENATE("R10C",'Mapa final'!$Q$66),"")</f>
        <v/>
      </c>
      <c r="N25" s="58" t="str">
        <f>IF(AND('Mapa final'!$AA$67="Alta",'Mapa final'!$AC$67="Leve"),CONCATENATE("R10C",'Mapa final'!$Q$67),"")</f>
        <v/>
      </c>
      <c r="O25" s="59" t="str">
        <f>IF(AND('Mapa final'!$AA$68="Alta",'Mapa final'!$AC$68="Leve"),CONCATENATE("R10C",'Mapa final'!$Q$68),"")</f>
        <v/>
      </c>
      <c r="P25" s="57" t="str">
        <f>IF(AND('Mapa final'!$AA$63="Alta",'Mapa final'!$AC$63="Menor"),CONCATENATE("R10C",'Mapa final'!$Q$63),"")</f>
        <v/>
      </c>
      <c r="Q25" s="58" t="str">
        <f>IF(AND('Mapa final'!$AA$64="Alta",'Mapa final'!$AC$64="Menor"),CONCATENATE("R10C",'Mapa final'!$Q$64),"")</f>
        <v/>
      </c>
      <c r="R25" s="58" t="str">
        <f>IF(AND('Mapa final'!$AA$65="Alta",'Mapa final'!$AC$65="Menor"),CONCATENATE("R10C",'Mapa final'!$Q$65),"")</f>
        <v/>
      </c>
      <c r="S25" s="58" t="str">
        <f>IF(AND('Mapa final'!$AA$66="Alta",'Mapa final'!$AC$66="Menor"),CONCATENATE("R10C",'Mapa final'!$Q$66),"")</f>
        <v/>
      </c>
      <c r="T25" s="58" t="str">
        <f>IF(AND('Mapa final'!$AA$67="Alta",'Mapa final'!$AC$67="Menor"),CONCATENATE("R10C",'Mapa final'!$Q$67),"")</f>
        <v/>
      </c>
      <c r="U25" s="59" t="str">
        <f>IF(AND('Mapa final'!$AA$68="Alta",'Mapa final'!$AC$68="Menor"),CONCATENATE("R10C",'Mapa final'!$Q$68),"")</f>
        <v/>
      </c>
      <c r="V25" s="45" t="str">
        <f>IF(AND('Mapa final'!$AA$63="Alta",'Mapa final'!$AC$63="Moderado"),CONCATENATE("R10C",'Mapa final'!$Q$63),"")</f>
        <v/>
      </c>
      <c r="W25" s="46" t="str">
        <f>IF(AND('Mapa final'!$AA$64="Alta",'Mapa final'!$AC$64="Moderado"),CONCATENATE("R10C",'Mapa final'!$Q$64),"")</f>
        <v/>
      </c>
      <c r="X25" s="46" t="str">
        <f>IF(AND('Mapa final'!$AA$65="Alta",'Mapa final'!$AC$65="Moderado"),CONCATENATE("R10C",'Mapa final'!$Q$65),"")</f>
        <v/>
      </c>
      <c r="Y25" s="46" t="str">
        <f>IF(AND('Mapa final'!$AA$66="Alta",'Mapa final'!$AC$66="Moderado"),CONCATENATE("R10C",'Mapa final'!$Q$66),"")</f>
        <v/>
      </c>
      <c r="Z25" s="46" t="str">
        <f>IF(AND('Mapa final'!$AA$67="Alta",'Mapa final'!$AC$67="Moderado"),CONCATENATE("R10C",'Mapa final'!$Q$67),"")</f>
        <v/>
      </c>
      <c r="AA25" s="47" t="str">
        <f>IF(AND('Mapa final'!$AA$68="Alta",'Mapa final'!$AC$68="Moderado"),CONCATENATE("R10C",'Mapa final'!$Q$68),"")</f>
        <v/>
      </c>
      <c r="AB25" s="45" t="str">
        <f>IF(AND('Mapa final'!$AA$63="Alta",'Mapa final'!$AC$63="Mayor"),CONCATENATE("R10C",'Mapa final'!$Q$63),"")</f>
        <v/>
      </c>
      <c r="AC25" s="46" t="str">
        <f>IF(AND('Mapa final'!$AA$64="Alta",'Mapa final'!$AC$64="Mayor"),CONCATENATE("R10C",'Mapa final'!$Q$64),"")</f>
        <v/>
      </c>
      <c r="AD25" s="46" t="str">
        <f>IF(AND('Mapa final'!$AA$65="Alta",'Mapa final'!$AC$65="Mayor"),CONCATENATE("R10C",'Mapa final'!$Q$65),"")</f>
        <v/>
      </c>
      <c r="AE25" s="46" t="str">
        <f>IF(AND('Mapa final'!$AA$66="Alta",'Mapa final'!$AC$66="Mayor"),CONCATENATE("R10C",'Mapa final'!$Q$66),"")</f>
        <v/>
      </c>
      <c r="AF25" s="46" t="str">
        <f>IF(AND('Mapa final'!$AA$67="Alta",'Mapa final'!$AC$67="Mayor"),CONCATENATE("R10C",'Mapa final'!$Q$67),"")</f>
        <v/>
      </c>
      <c r="AG25" s="47" t="str">
        <f>IF(AND('Mapa final'!$AA$68="Alta",'Mapa final'!$AC$68="Mayor"),CONCATENATE("R10C",'Mapa final'!$Q$68),"")</f>
        <v/>
      </c>
      <c r="AH25" s="48" t="str">
        <f>IF(AND('Mapa final'!$AA$63="Alta",'Mapa final'!$AC$63="Catastrófico"),CONCATENATE("R10C",'Mapa final'!$Q$63),"")</f>
        <v/>
      </c>
      <c r="AI25" s="49" t="str">
        <f>IF(AND('Mapa final'!$AA$64="Alta",'Mapa final'!$AC$64="Catastrófico"),CONCATENATE("R10C",'Mapa final'!$Q$64),"")</f>
        <v/>
      </c>
      <c r="AJ25" s="49" t="str">
        <f>IF(AND('Mapa final'!$AA$65="Alta",'Mapa final'!$AC$65="Catastrófico"),CONCATENATE("R10C",'Mapa final'!$Q$65),"")</f>
        <v/>
      </c>
      <c r="AK25" s="49" t="str">
        <f>IF(AND('Mapa final'!$AA$66="Alta",'Mapa final'!$AC$66="Catastrófico"),CONCATENATE("R10C",'Mapa final'!$Q$66),"")</f>
        <v/>
      </c>
      <c r="AL25" s="49" t="str">
        <f>IF(AND('Mapa final'!$AA$67="Alta",'Mapa final'!$AC$67="Catastrófico"),CONCATENATE("R10C",'Mapa final'!$Q$67),"")</f>
        <v/>
      </c>
      <c r="AM25" s="50" t="str">
        <f>IF(AND('Mapa final'!$AA$68="Alta",'Mapa final'!$AC$68="Catastrófico"),CONCATENATE("R10C",'Mapa final'!$Q$68),"")</f>
        <v/>
      </c>
      <c r="AN25" s="70"/>
      <c r="AO25" s="333"/>
      <c r="AP25" s="334"/>
      <c r="AQ25" s="334"/>
      <c r="AR25" s="334"/>
      <c r="AS25" s="334"/>
      <c r="AT25" s="33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39"/>
      <c r="C26" s="239"/>
      <c r="D26" s="240"/>
      <c r="E26" s="336" t="s">
        <v>113</v>
      </c>
      <c r="F26" s="337"/>
      <c r="G26" s="337"/>
      <c r="H26" s="337"/>
      <c r="I26" s="355"/>
      <c r="J26" s="51" t="str">
        <f>IF(AND('Mapa final'!$AA$9="Media",'Mapa final'!$AC$9="Leve"),CONCATENATE("R1C",'Mapa final'!$Q$9),"")</f>
        <v/>
      </c>
      <c r="K26" s="52" t="str">
        <f>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IF(AND('Mapa final'!$AA$9="Media",'Mapa final'!$AC$9="Menor"),CONCATENATE("R1C",'Mapa final'!$Q$9),"")</f>
        <v/>
      </c>
      <c r="Q26" s="52" t="str">
        <f>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IF(AND('Mapa final'!$AA$9="Media",'Mapa final'!$AC$9="Moderado"),CONCATENATE("R1C",'Mapa final'!$Q$9),"")</f>
        <v/>
      </c>
      <c r="W26" s="52" t="str">
        <f>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IF(AND('Mapa final'!$AA$9="Media",'Mapa final'!$AC$9="Mayor"),CONCATENATE("R1C",'Mapa final'!$Q$9),"")</f>
        <v/>
      </c>
      <c r="AC26" s="33" t="str">
        <f>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IF(AND('Mapa final'!$AA$9="Media",'Mapa final'!$AC$9="Catastrófico"),CONCATENATE("R1C",'Mapa final'!$Q$9),"")</f>
        <v/>
      </c>
      <c r="AI26" s="36" t="str">
        <f>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7" t="s">
        <v>77</v>
      </c>
      <c r="AP26" s="368"/>
      <c r="AQ26" s="368"/>
      <c r="AR26" s="368"/>
      <c r="AS26" s="368"/>
      <c r="AT26" s="369"/>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39"/>
      <c r="C27" s="239"/>
      <c r="D27" s="240"/>
      <c r="E27" s="338"/>
      <c r="F27" s="339"/>
      <c r="G27" s="339"/>
      <c r="H27" s="339"/>
      <c r="I27" s="356"/>
      <c r="J27" s="54" t="str">
        <f>IF(AND('Mapa final'!$AA$15="Media",'Mapa final'!$AC$15="Leve"),CONCATENATE("R2C",'Mapa final'!$Q$15),"")</f>
        <v>R2C1</v>
      </c>
      <c r="K27" s="55" t="str">
        <f>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IF(AND('Mapa final'!$AA$15="Media",'Mapa final'!$AC$15="Menor"),CONCATENATE("R2C",'Mapa final'!$Q$15),"")</f>
        <v/>
      </c>
      <c r="Q27" s="55" t="str">
        <f>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IF(AND('Mapa final'!$AA$15="Media",'Mapa final'!$AC$15="Moderado"),CONCATENATE("R2C",'Mapa final'!$Q$15),"")</f>
        <v/>
      </c>
      <c r="W27" s="55" t="str">
        <f>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IF(AND('Mapa final'!$AA$15="Media",'Mapa final'!$AC$15="Mayor"),CONCATENATE("R2C",'Mapa final'!$Q$15),"")</f>
        <v/>
      </c>
      <c r="AC27" s="39" t="str">
        <f>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IF(AND('Mapa final'!$AA$15="Media",'Mapa final'!$AC$15="Catastrófico"),CONCATENATE("R2C",'Mapa final'!$Q$15),"")</f>
        <v/>
      </c>
      <c r="AI27" s="42" t="str">
        <f>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70"/>
      <c r="AP27" s="371"/>
      <c r="AQ27" s="371"/>
      <c r="AR27" s="371"/>
      <c r="AS27" s="371"/>
      <c r="AT27" s="372"/>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39"/>
      <c r="C28" s="239"/>
      <c r="D28" s="240"/>
      <c r="E28" s="340"/>
      <c r="F28" s="341"/>
      <c r="G28" s="341"/>
      <c r="H28" s="341"/>
      <c r="I28" s="356"/>
      <c r="J28" s="54" t="str">
        <f>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IF(AND('Mapa final'!$AA$21="Media",'Mapa final'!$AC$21="Menor"),CONCATENATE("R3C",'Mapa final'!$Q$21),"")</f>
        <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IF(AND('Mapa final'!$AA$21="Media",'Mapa final'!$AC$21="Moderado"),CONCATENATE("R3C",'Mapa final'!$Q$21),"")</f>
        <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70"/>
      <c r="AP28" s="371"/>
      <c r="AQ28" s="371"/>
      <c r="AR28" s="371"/>
      <c r="AS28" s="371"/>
      <c r="AT28" s="372"/>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39"/>
      <c r="C29" s="239"/>
      <c r="D29" s="240"/>
      <c r="E29" s="340"/>
      <c r="F29" s="341"/>
      <c r="G29" s="341"/>
      <c r="H29" s="341"/>
      <c r="I29" s="356"/>
      <c r="J29" s="54" t="str">
        <f>IF(AND('Mapa final'!$AA$27="Media",'Mapa final'!$AC$27="Leve"),CONCATENATE("R4C",'Mapa final'!$Q$27),"")</f>
        <v/>
      </c>
      <c r="K29" s="55" t="str">
        <f>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IF(AND('Mapa final'!$AA$27="Media",'Mapa final'!$AC$27="Menor"),CONCATENATE("R4C",'Mapa final'!$Q$27),"")</f>
        <v/>
      </c>
      <c r="Q29" s="55" t="str">
        <f>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IF(AND('Mapa final'!$AA$27="Media",'Mapa final'!$AC$27="Moderado"),CONCATENATE("R4C",'Mapa final'!$Q$27),"")</f>
        <v/>
      </c>
      <c r="W29" s="55" t="str">
        <f>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IF(AND('Mapa final'!$AA$27="Media",'Mapa final'!$AC$27="Mayor"),CONCATENATE("R4C",'Mapa final'!$Q$27),"")</f>
        <v/>
      </c>
      <c r="AC29" s="39" t="str">
        <f>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IF(AND('Mapa final'!$AA$27="Media",'Mapa final'!$AC$27="Catastrófico"),CONCATENATE("R4C",'Mapa final'!$Q$27),"")</f>
        <v/>
      </c>
      <c r="AI29" s="42" t="str">
        <f>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70"/>
      <c r="AP29" s="371"/>
      <c r="AQ29" s="371"/>
      <c r="AR29" s="371"/>
      <c r="AS29" s="371"/>
      <c r="AT29" s="372"/>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39"/>
      <c r="C30" s="239"/>
      <c r="D30" s="240"/>
      <c r="E30" s="340"/>
      <c r="F30" s="341"/>
      <c r="G30" s="341"/>
      <c r="H30" s="341"/>
      <c r="I30" s="356"/>
      <c r="J30" s="54" t="str">
        <f>IF(AND('Mapa final'!$AA$33="Media",'Mapa final'!$AC$33="Leve"),CONCATENATE("R5C",'Mapa final'!$Q$33),"")</f>
        <v/>
      </c>
      <c r="K30" s="55" t="str">
        <f>IF(AND('Mapa final'!$AA$34="Media",'Mapa final'!$AC$34="Leve"),CONCATENATE("R5C",'Mapa final'!$Q$34),"")</f>
        <v/>
      </c>
      <c r="L30" s="55" t="str">
        <f>IF(AND('Mapa final'!$AA$35="Media",'Mapa final'!$AC$35="Leve"),CONCATENATE("R5C",'Mapa final'!$Q$35),"")</f>
        <v/>
      </c>
      <c r="M30" s="55" t="str">
        <f>IF(AND('Mapa final'!$AA$36="Media",'Mapa final'!$AC$36="Leve"),CONCATENATE("R5C",'Mapa final'!$Q$36),"")</f>
        <v/>
      </c>
      <c r="N30" s="55" t="str">
        <f>IF(AND('Mapa final'!$AA$37="Media",'Mapa final'!$AC$37="Leve"),CONCATENATE("R5C",'Mapa final'!$Q$37),"")</f>
        <v/>
      </c>
      <c r="O30" s="56" t="str">
        <f>IF(AND('Mapa final'!$AA$38="Media",'Mapa final'!$AC$38="Leve"),CONCATENATE("R5C",'Mapa final'!$Q$38),"")</f>
        <v/>
      </c>
      <c r="P30" s="54" t="str">
        <f>IF(AND('Mapa final'!$AA$33="Media",'Mapa final'!$AC$33="Menor"),CONCATENATE("R5C",'Mapa final'!$Q$33),"")</f>
        <v/>
      </c>
      <c r="Q30" s="55" t="str">
        <f>IF(AND('Mapa final'!$AA$34="Media",'Mapa final'!$AC$34="Menor"),CONCATENATE("R5C",'Mapa final'!$Q$34),"")</f>
        <v/>
      </c>
      <c r="R30" s="55" t="str">
        <f>IF(AND('Mapa final'!$AA$35="Media",'Mapa final'!$AC$35="Menor"),CONCATENATE("R5C",'Mapa final'!$Q$35),"")</f>
        <v/>
      </c>
      <c r="S30" s="55" t="str">
        <f>IF(AND('Mapa final'!$AA$36="Media",'Mapa final'!$AC$36="Menor"),CONCATENATE("R5C",'Mapa final'!$Q$36),"")</f>
        <v/>
      </c>
      <c r="T30" s="55" t="str">
        <f>IF(AND('Mapa final'!$AA$37="Media",'Mapa final'!$AC$37="Menor"),CONCATENATE("R5C",'Mapa final'!$Q$37),"")</f>
        <v/>
      </c>
      <c r="U30" s="56" t="str">
        <f>IF(AND('Mapa final'!$AA$38="Media",'Mapa final'!$AC$38="Menor"),CONCATENATE("R5C",'Mapa final'!$Q$38),"")</f>
        <v/>
      </c>
      <c r="V30" s="54" t="str">
        <f>IF(AND('Mapa final'!$AA$33="Media",'Mapa final'!$AC$33="Moderado"),CONCATENATE("R5C",'Mapa final'!$Q$33),"")</f>
        <v/>
      </c>
      <c r="W30" s="55" t="str">
        <f>IF(AND('Mapa final'!$AA$34="Media",'Mapa final'!$AC$34="Moderado"),CONCATENATE("R5C",'Mapa final'!$Q$34),"")</f>
        <v/>
      </c>
      <c r="X30" s="55" t="str">
        <f>IF(AND('Mapa final'!$AA$35="Media",'Mapa final'!$AC$35="Moderado"),CONCATENATE("R5C",'Mapa final'!$Q$35),"")</f>
        <v/>
      </c>
      <c r="Y30" s="55" t="str">
        <f>IF(AND('Mapa final'!$AA$36="Media",'Mapa final'!$AC$36="Moderado"),CONCATENATE("R5C",'Mapa final'!$Q$36),"")</f>
        <v/>
      </c>
      <c r="Z30" s="55" t="str">
        <f>IF(AND('Mapa final'!$AA$37="Media",'Mapa final'!$AC$37="Moderado"),CONCATENATE("R5C",'Mapa final'!$Q$37),"")</f>
        <v/>
      </c>
      <c r="AA30" s="56" t="str">
        <f>IF(AND('Mapa final'!$AA$38="Media",'Mapa final'!$AC$38="Moderado"),CONCATENATE("R5C",'Mapa final'!$Q$38),"")</f>
        <v/>
      </c>
      <c r="AB30" s="38" t="str">
        <f>IF(AND('Mapa final'!$AA$33="Media",'Mapa final'!$AC$33="Mayor"),CONCATENATE("R5C",'Mapa final'!$Q$33),"")</f>
        <v/>
      </c>
      <c r="AC30" s="39" t="str">
        <f>IF(AND('Mapa final'!$AA$34="Media",'Mapa final'!$AC$34="Mayor"),CONCATENATE("R5C",'Mapa final'!$Q$34),"")</f>
        <v/>
      </c>
      <c r="AD30" s="44" t="str">
        <f>IF(AND('Mapa final'!$AA$35="Media",'Mapa final'!$AC$35="Mayor"),CONCATENATE("R5C",'Mapa final'!$Q$35),"")</f>
        <v/>
      </c>
      <c r="AE30" s="44" t="str">
        <f>IF(AND('Mapa final'!$AA$36="Media",'Mapa final'!$AC$36="Mayor"),CONCATENATE("R5C",'Mapa final'!$Q$36),"")</f>
        <v/>
      </c>
      <c r="AF30" s="44" t="str">
        <f>IF(AND('Mapa final'!$AA$37="Media",'Mapa final'!$AC$37="Mayor"),CONCATENATE("R5C",'Mapa final'!$Q$37),"")</f>
        <v/>
      </c>
      <c r="AG30" s="40" t="str">
        <f>IF(AND('Mapa final'!$AA$38="Media",'Mapa final'!$AC$38="Mayor"),CONCATENATE("R5C",'Mapa final'!$Q$38),"")</f>
        <v/>
      </c>
      <c r="AH30" s="41" t="str">
        <f>IF(AND('Mapa final'!$AA$33="Media",'Mapa final'!$AC$33="Catastrófico"),CONCATENATE("R5C",'Mapa final'!$Q$33),"")</f>
        <v/>
      </c>
      <c r="AI30" s="42" t="str">
        <f>IF(AND('Mapa final'!$AA$34="Media",'Mapa final'!$AC$34="Catastrófico"),CONCATENATE("R5C",'Mapa final'!$Q$34),"")</f>
        <v/>
      </c>
      <c r="AJ30" s="42" t="str">
        <f>IF(AND('Mapa final'!$AA$35="Media",'Mapa final'!$AC$35="Catastrófico"),CONCATENATE("R5C",'Mapa final'!$Q$35),"")</f>
        <v/>
      </c>
      <c r="AK30" s="42" t="str">
        <f>IF(AND('Mapa final'!$AA$36="Media",'Mapa final'!$AC$36="Catastrófico"),CONCATENATE("R5C",'Mapa final'!$Q$36),"")</f>
        <v/>
      </c>
      <c r="AL30" s="42" t="str">
        <f>IF(AND('Mapa final'!$AA$37="Media",'Mapa final'!$AC$37="Catastrófico"),CONCATENATE("R5C",'Mapa final'!$Q$37),"")</f>
        <v/>
      </c>
      <c r="AM30" s="43" t="str">
        <f>IF(AND('Mapa final'!$AA$38="Media",'Mapa final'!$AC$38="Catastrófico"),CONCATENATE("R5C",'Mapa final'!$Q$38),"")</f>
        <v/>
      </c>
      <c r="AN30" s="70"/>
      <c r="AO30" s="370"/>
      <c r="AP30" s="371"/>
      <c r="AQ30" s="371"/>
      <c r="AR30" s="371"/>
      <c r="AS30" s="371"/>
      <c r="AT30" s="37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39"/>
      <c r="C31" s="239"/>
      <c r="D31" s="240"/>
      <c r="E31" s="340"/>
      <c r="F31" s="341"/>
      <c r="G31" s="341"/>
      <c r="H31" s="341"/>
      <c r="I31" s="356"/>
      <c r="J31" s="54" t="str">
        <f>IF(AND('Mapa final'!$AA$39="Media",'Mapa final'!$AC$39="Leve"),CONCATENATE("R6C",'Mapa final'!$Q$39),"")</f>
        <v/>
      </c>
      <c r="K31" s="55" t="str">
        <f>IF(AND('Mapa final'!$AA$40="Media",'Mapa final'!$AC$40="Leve"),CONCATENATE("R6C",'Mapa final'!$Q$40),"")</f>
        <v/>
      </c>
      <c r="L31" s="55" t="str">
        <f>IF(AND('Mapa final'!$AA$41="Media",'Mapa final'!$AC$41="Leve"),CONCATENATE("R6C",'Mapa final'!$Q$41),"")</f>
        <v/>
      </c>
      <c r="M31" s="55" t="str">
        <f>IF(AND('Mapa final'!$AA$42="Media",'Mapa final'!$AC$42="Leve"),CONCATENATE("R6C",'Mapa final'!$Q$42),"")</f>
        <v/>
      </c>
      <c r="N31" s="55" t="str">
        <f>IF(AND('Mapa final'!$AA$43="Media",'Mapa final'!$AC$43="Leve"),CONCATENATE("R6C",'Mapa final'!$Q$43),"")</f>
        <v/>
      </c>
      <c r="O31" s="56" t="str">
        <f>IF(AND('Mapa final'!$AA$44="Media",'Mapa final'!$AC$44="Leve"),CONCATENATE("R6C",'Mapa final'!$Q$44),"")</f>
        <v/>
      </c>
      <c r="P31" s="54" t="str">
        <f>IF(AND('Mapa final'!$AA$39="Media",'Mapa final'!$AC$39="Menor"),CONCATENATE("R6C",'Mapa final'!$Q$39),"")</f>
        <v/>
      </c>
      <c r="Q31" s="55" t="str">
        <f>IF(AND('Mapa final'!$AA$40="Media",'Mapa final'!$AC$40="Menor"),CONCATENATE("R6C",'Mapa final'!$Q$40),"")</f>
        <v/>
      </c>
      <c r="R31" s="55" t="str">
        <f>IF(AND('Mapa final'!$AA$41="Media",'Mapa final'!$AC$41="Menor"),CONCATENATE("R6C",'Mapa final'!$Q$41),"")</f>
        <v/>
      </c>
      <c r="S31" s="55" t="str">
        <f>IF(AND('Mapa final'!$AA$42="Media",'Mapa final'!$AC$42="Menor"),CONCATENATE("R6C",'Mapa final'!$Q$42),"")</f>
        <v/>
      </c>
      <c r="T31" s="55" t="str">
        <f>IF(AND('Mapa final'!$AA$43="Media",'Mapa final'!$AC$43="Menor"),CONCATENATE("R6C",'Mapa final'!$Q$43),"")</f>
        <v/>
      </c>
      <c r="U31" s="56" t="str">
        <f>IF(AND('Mapa final'!$AA$44="Media",'Mapa final'!$AC$44="Menor"),CONCATENATE("R6C",'Mapa final'!$Q$44),"")</f>
        <v/>
      </c>
      <c r="V31" s="54" t="str">
        <f>IF(AND('Mapa final'!$AA$39="Media",'Mapa final'!$AC$39="Moderado"),CONCATENATE("R6C",'Mapa final'!$Q$39),"")</f>
        <v/>
      </c>
      <c r="W31" s="55" t="str">
        <f>IF(AND('Mapa final'!$AA$40="Media",'Mapa final'!$AC$40="Moderado"),CONCATENATE("R6C",'Mapa final'!$Q$40),"")</f>
        <v/>
      </c>
      <c r="X31" s="55" t="str">
        <f>IF(AND('Mapa final'!$AA$41="Media",'Mapa final'!$AC$41="Moderado"),CONCATENATE("R6C",'Mapa final'!$Q$41),"")</f>
        <v/>
      </c>
      <c r="Y31" s="55" t="str">
        <f>IF(AND('Mapa final'!$AA$42="Media",'Mapa final'!$AC$42="Moderado"),CONCATENATE("R6C",'Mapa final'!$Q$42),"")</f>
        <v/>
      </c>
      <c r="Z31" s="55" t="str">
        <f>IF(AND('Mapa final'!$AA$43="Media",'Mapa final'!$AC$43="Moderado"),CONCATENATE("R6C",'Mapa final'!$Q$43),"")</f>
        <v/>
      </c>
      <c r="AA31" s="56" t="str">
        <f>IF(AND('Mapa final'!$AA$44="Media",'Mapa final'!$AC$44="Moderado"),CONCATENATE("R6C",'Mapa final'!$Q$44),"")</f>
        <v/>
      </c>
      <c r="AB31" s="38" t="str">
        <f>IF(AND('Mapa final'!$AA$39="Media",'Mapa final'!$AC$39="Mayor"),CONCATENATE("R6C",'Mapa final'!$Q$39),"")</f>
        <v/>
      </c>
      <c r="AC31" s="39" t="str">
        <f>IF(AND('Mapa final'!$AA$40="Media",'Mapa final'!$AC$40="Mayor"),CONCATENATE("R6C",'Mapa final'!$Q$40),"")</f>
        <v/>
      </c>
      <c r="AD31" s="44" t="str">
        <f>IF(AND('Mapa final'!$AA$41="Media",'Mapa final'!$AC$41="Mayor"),CONCATENATE("R6C",'Mapa final'!$Q$41),"")</f>
        <v/>
      </c>
      <c r="AE31" s="44" t="str">
        <f>IF(AND('Mapa final'!$AA$42="Media",'Mapa final'!$AC$42="Mayor"),CONCATENATE("R6C",'Mapa final'!$Q$42),"")</f>
        <v/>
      </c>
      <c r="AF31" s="44" t="str">
        <f>IF(AND('Mapa final'!$AA$43="Media",'Mapa final'!$AC$43="Mayor"),CONCATENATE("R6C",'Mapa final'!$Q$43),"")</f>
        <v/>
      </c>
      <c r="AG31" s="40" t="str">
        <f>IF(AND('Mapa final'!$AA$44="Media",'Mapa final'!$AC$44="Mayor"),CONCATENATE("R6C",'Mapa final'!$Q$44),"")</f>
        <v/>
      </c>
      <c r="AH31" s="41" t="str">
        <f>IF(AND('Mapa final'!$AA$39="Media",'Mapa final'!$AC$39="Catastrófico"),CONCATENATE("R6C",'Mapa final'!$Q$39),"")</f>
        <v/>
      </c>
      <c r="AI31" s="42" t="str">
        <f>IF(AND('Mapa final'!$AA$40="Media",'Mapa final'!$AC$40="Catastrófico"),CONCATENATE("R6C",'Mapa final'!$Q$40),"")</f>
        <v/>
      </c>
      <c r="AJ31" s="42" t="str">
        <f>IF(AND('Mapa final'!$AA$41="Media",'Mapa final'!$AC$41="Catastrófico"),CONCATENATE("R6C",'Mapa final'!$Q$41),"")</f>
        <v/>
      </c>
      <c r="AK31" s="42" t="str">
        <f>IF(AND('Mapa final'!$AA$42="Media",'Mapa final'!$AC$42="Catastrófico"),CONCATENATE("R6C",'Mapa final'!$Q$42),"")</f>
        <v/>
      </c>
      <c r="AL31" s="42" t="str">
        <f>IF(AND('Mapa final'!$AA$43="Media",'Mapa final'!$AC$43="Catastrófico"),CONCATENATE("R6C",'Mapa final'!$Q$43),"")</f>
        <v/>
      </c>
      <c r="AM31" s="43" t="str">
        <f>IF(AND('Mapa final'!$AA$44="Media",'Mapa final'!$AC$44="Catastrófico"),CONCATENATE("R6C",'Mapa final'!$Q$44),"")</f>
        <v/>
      </c>
      <c r="AN31" s="70"/>
      <c r="AO31" s="370"/>
      <c r="AP31" s="371"/>
      <c r="AQ31" s="371"/>
      <c r="AR31" s="371"/>
      <c r="AS31" s="371"/>
      <c r="AT31" s="37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39"/>
      <c r="C32" s="239"/>
      <c r="D32" s="240"/>
      <c r="E32" s="340"/>
      <c r="F32" s="341"/>
      <c r="G32" s="341"/>
      <c r="H32" s="341"/>
      <c r="I32" s="356"/>
      <c r="J32" s="54" t="str">
        <f>IF(AND('Mapa final'!$AA$45="Media",'Mapa final'!$AC$45="Leve"),CONCATENATE("R7C",'Mapa final'!$Q$45),"")</f>
        <v/>
      </c>
      <c r="K32" s="55" t="str">
        <f>IF(AND('Mapa final'!$AA$46="Media",'Mapa final'!$AC$46="Leve"),CONCATENATE("R7C",'Mapa final'!$Q$46),"")</f>
        <v/>
      </c>
      <c r="L32" s="55" t="str">
        <f>IF(AND('Mapa final'!$AA$47="Media",'Mapa final'!$AC$47="Leve"),CONCATENATE("R7C",'Mapa final'!$Q$47),"")</f>
        <v/>
      </c>
      <c r="M32" s="55" t="str">
        <f>IF(AND('Mapa final'!$AA$48="Media",'Mapa final'!$AC$48="Leve"),CONCATENATE("R7C",'Mapa final'!$Q$48),"")</f>
        <v/>
      </c>
      <c r="N32" s="55" t="str">
        <f>IF(AND('Mapa final'!$AA$49="Media",'Mapa final'!$AC$49="Leve"),CONCATENATE("R7C",'Mapa final'!$Q$49),"")</f>
        <v/>
      </c>
      <c r="O32" s="56" t="str">
        <f>IF(AND('Mapa final'!$AA$50="Media",'Mapa final'!$AC$50="Leve"),CONCATENATE("R7C",'Mapa final'!$Q$50),"")</f>
        <v/>
      </c>
      <c r="P32" s="54" t="str">
        <f>IF(AND('Mapa final'!$AA$45="Media",'Mapa final'!$AC$45="Menor"),CONCATENATE("R7C",'Mapa final'!$Q$45),"")</f>
        <v/>
      </c>
      <c r="Q32" s="55" t="str">
        <f>IF(AND('Mapa final'!$AA$46="Media",'Mapa final'!$AC$46="Menor"),CONCATENATE("R7C",'Mapa final'!$Q$46),"")</f>
        <v/>
      </c>
      <c r="R32" s="55" t="str">
        <f>IF(AND('Mapa final'!$AA$47="Media",'Mapa final'!$AC$47="Menor"),CONCATENATE("R7C",'Mapa final'!$Q$47),"")</f>
        <v/>
      </c>
      <c r="S32" s="55" t="str">
        <f>IF(AND('Mapa final'!$AA$48="Media",'Mapa final'!$AC$48="Menor"),CONCATENATE("R7C",'Mapa final'!$Q$48),"")</f>
        <v/>
      </c>
      <c r="T32" s="55" t="str">
        <f>IF(AND('Mapa final'!$AA$49="Media",'Mapa final'!$AC$49="Menor"),CONCATENATE("R7C",'Mapa final'!$Q$49),"")</f>
        <v/>
      </c>
      <c r="U32" s="56" t="str">
        <f>IF(AND('Mapa final'!$AA$50="Media",'Mapa final'!$AC$50="Menor"),CONCATENATE("R7C",'Mapa final'!$Q$50),"")</f>
        <v/>
      </c>
      <c r="V32" s="54" t="str">
        <f>IF(AND('Mapa final'!$AA$45="Media",'Mapa final'!$AC$45="Moderado"),CONCATENATE("R7C",'Mapa final'!$Q$45),"")</f>
        <v/>
      </c>
      <c r="W32" s="55" t="str">
        <f>IF(AND('Mapa final'!$AA$46="Media",'Mapa final'!$AC$46="Moderado"),CONCATENATE("R7C",'Mapa final'!$Q$46),"")</f>
        <v/>
      </c>
      <c r="X32" s="55" t="str">
        <f>IF(AND('Mapa final'!$AA$47="Media",'Mapa final'!$AC$47="Moderado"),CONCATENATE("R7C",'Mapa final'!$Q$47),"")</f>
        <v/>
      </c>
      <c r="Y32" s="55" t="str">
        <f>IF(AND('Mapa final'!$AA$48="Media",'Mapa final'!$AC$48="Moderado"),CONCATENATE("R7C",'Mapa final'!$Q$48),"")</f>
        <v/>
      </c>
      <c r="Z32" s="55" t="str">
        <f>IF(AND('Mapa final'!$AA$49="Media",'Mapa final'!$AC$49="Moderado"),CONCATENATE("R7C",'Mapa final'!$Q$49),"")</f>
        <v/>
      </c>
      <c r="AA32" s="56" t="str">
        <f>IF(AND('Mapa final'!$AA$50="Media",'Mapa final'!$AC$50="Moderado"),CONCATENATE("R7C",'Mapa final'!$Q$50),"")</f>
        <v/>
      </c>
      <c r="AB32" s="38" t="str">
        <f>IF(AND('Mapa final'!$AA$45="Media",'Mapa final'!$AC$45="Mayor"),CONCATENATE("R7C",'Mapa final'!$Q$45),"")</f>
        <v/>
      </c>
      <c r="AC32" s="39" t="str">
        <f>IF(AND('Mapa final'!$AA$46="Media",'Mapa final'!$AC$46="Mayor"),CONCATENATE("R7C",'Mapa final'!$Q$46),"")</f>
        <v/>
      </c>
      <c r="AD32" s="44" t="str">
        <f>IF(AND('Mapa final'!$AA$47="Media",'Mapa final'!$AC$47="Mayor"),CONCATENATE("R7C",'Mapa final'!$Q$47),"")</f>
        <v/>
      </c>
      <c r="AE32" s="44" t="str">
        <f>IF(AND('Mapa final'!$AA$48="Media",'Mapa final'!$AC$48="Mayor"),CONCATENATE("R7C",'Mapa final'!$Q$48),"")</f>
        <v/>
      </c>
      <c r="AF32" s="44" t="str">
        <f>IF(AND('Mapa final'!$AA$49="Media",'Mapa final'!$AC$49="Mayor"),CONCATENATE("R7C",'Mapa final'!$Q$49),"")</f>
        <v/>
      </c>
      <c r="AG32" s="40" t="str">
        <f>IF(AND('Mapa final'!$AA$50="Media",'Mapa final'!$AC$50="Mayor"),CONCATENATE("R7C",'Mapa final'!$Q$50),"")</f>
        <v/>
      </c>
      <c r="AH32" s="41" t="str">
        <f>IF(AND('Mapa final'!$AA$45="Media",'Mapa final'!$AC$45="Catastrófico"),CONCATENATE("R7C",'Mapa final'!$Q$45),"")</f>
        <v/>
      </c>
      <c r="AI32" s="42" t="str">
        <f>IF(AND('Mapa final'!$AA$46="Media",'Mapa final'!$AC$46="Catastrófico"),CONCATENATE("R7C",'Mapa final'!$Q$46),"")</f>
        <v/>
      </c>
      <c r="AJ32" s="42" t="str">
        <f>IF(AND('Mapa final'!$AA$47="Media",'Mapa final'!$AC$47="Catastrófico"),CONCATENATE("R7C",'Mapa final'!$Q$47),"")</f>
        <v/>
      </c>
      <c r="AK32" s="42" t="str">
        <f>IF(AND('Mapa final'!$AA$48="Media",'Mapa final'!$AC$48="Catastrófico"),CONCATENATE("R7C",'Mapa final'!$Q$48),"")</f>
        <v/>
      </c>
      <c r="AL32" s="42" t="str">
        <f>IF(AND('Mapa final'!$AA$49="Media",'Mapa final'!$AC$49="Catastrófico"),CONCATENATE("R7C",'Mapa final'!$Q$49),"")</f>
        <v/>
      </c>
      <c r="AM32" s="43" t="str">
        <f>IF(AND('Mapa final'!$AA$50="Media",'Mapa final'!$AC$50="Catastrófico"),CONCATENATE("R7C",'Mapa final'!$Q$50),"")</f>
        <v/>
      </c>
      <c r="AN32" s="70"/>
      <c r="AO32" s="370"/>
      <c r="AP32" s="371"/>
      <c r="AQ32" s="371"/>
      <c r="AR32" s="371"/>
      <c r="AS32" s="371"/>
      <c r="AT32" s="37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39"/>
      <c r="C33" s="239"/>
      <c r="D33" s="240"/>
      <c r="E33" s="340"/>
      <c r="F33" s="341"/>
      <c r="G33" s="341"/>
      <c r="H33" s="341"/>
      <c r="I33" s="356"/>
      <c r="J33" s="54" t="str">
        <f>IF(AND('Mapa final'!$AA$51="Media",'Mapa final'!$AC$51="Leve"),CONCATENATE("R8C",'Mapa final'!$Q$51),"")</f>
        <v/>
      </c>
      <c r="K33" s="55" t="str">
        <f>IF(AND('Mapa final'!$AA$52="Media",'Mapa final'!$AC$52="Leve"),CONCATENATE("R8C",'Mapa final'!$Q$52),"")</f>
        <v/>
      </c>
      <c r="L33" s="55" t="str">
        <f>IF(AND('Mapa final'!$AA$53="Media",'Mapa final'!$AC$53="Leve"),CONCATENATE("R8C",'Mapa final'!$Q$53),"")</f>
        <v/>
      </c>
      <c r="M33" s="55" t="str">
        <f>IF(AND('Mapa final'!$AA$54="Media",'Mapa final'!$AC$54="Leve"),CONCATENATE("R8C",'Mapa final'!$Q$54),"")</f>
        <v/>
      </c>
      <c r="N33" s="55" t="str">
        <f>IF(AND('Mapa final'!$AA$55="Media",'Mapa final'!$AC$55="Leve"),CONCATENATE("R8C",'Mapa final'!$Q$55),"")</f>
        <v/>
      </c>
      <c r="O33" s="56" t="str">
        <f>IF(AND('Mapa final'!$AA$56="Media",'Mapa final'!$AC$56="Leve"),CONCATENATE("R8C",'Mapa final'!$Q$56),"")</f>
        <v/>
      </c>
      <c r="P33" s="54" t="str">
        <f>IF(AND('Mapa final'!$AA$51="Media",'Mapa final'!$AC$51="Menor"),CONCATENATE("R8C",'Mapa final'!$Q$51),"")</f>
        <v/>
      </c>
      <c r="Q33" s="55" t="str">
        <f>IF(AND('Mapa final'!$AA$52="Media",'Mapa final'!$AC$52="Menor"),CONCATENATE("R8C",'Mapa final'!$Q$52),"")</f>
        <v/>
      </c>
      <c r="R33" s="55" t="str">
        <f>IF(AND('Mapa final'!$AA$53="Media",'Mapa final'!$AC$53="Menor"),CONCATENATE("R8C",'Mapa final'!$Q$53),"")</f>
        <v/>
      </c>
      <c r="S33" s="55" t="str">
        <f>IF(AND('Mapa final'!$AA$54="Media",'Mapa final'!$AC$54="Menor"),CONCATENATE("R8C",'Mapa final'!$Q$54),"")</f>
        <v/>
      </c>
      <c r="T33" s="55" t="str">
        <f>IF(AND('Mapa final'!$AA$55="Media",'Mapa final'!$AC$55="Menor"),CONCATENATE("R8C",'Mapa final'!$Q$55),"")</f>
        <v/>
      </c>
      <c r="U33" s="56" t="str">
        <f>IF(AND('Mapa final'!$AA$56="Media",'Mapa final'!$AC$56="Menor"),CONCATENATE("R8C",'Mapa final'!$Q$56),"")</f>
        <v/>
      </c>
      <c r="V33" s="54" t="str">
        <f>IF(AND('Mapa final'!$AA$51="Media",'Mapa final'!$AC$51="Moderado"),CONCATENATE("R8C",'Mapa final'!$Q$51),"")</f>
        <v/>
      </c>
      <c r="W33" s="55" t="str">
        <f>IF(AND('Mapa final'!$AA$52="Media",'Mapa final'!$AC$52="Moderado"),CONCATENATE("R8C",'Mapa final'!$Q$52),"")</f>
        <v/>
      </c>
      <c r="X33" s="55" t="str">
        <f>IF(AND('Mapa final'!$AA$53="Media",'Mapa final'!$AC$53="Moderado"),CONCATENATE("R8C",'Mapa final'!$Q$53),"")</f>
        <v/>
      </c>
      <c r="Y33" s="55" t="str">
        <f>IF(AND('Mapa final'!$AA$54="Media",'Mapa final'!$AC$54="Moderado"),CONCATENATE("R8C",'Mapa final'!$Q$54),"")</f>
        <v/>
      </c>
      <c r="Z33" s="55" t="str">
        <f>IF(AND('Mapa final'!$AA$55="Media",'Mapa final'!$AC$55="Moderado"),CONCATENATE("R8C",'Mapa final'!$Q$55),"")</f>
        <v/>
      </c>
      <c r="AA33" s="56" t="str">
        <f>IF(AND('Mapa final'!$AA$56="Media",'Mapa final'!$AC$56="Moderado"),CONCATENATE("R8C",'Mapa final'!$Q$56),"")</f>
        <v/>
      </c>
      <c r="AB33" s="38" t="str">
        <f>IF(AND('Mapa final'!$AA$51="Media",'Mapa final'!$AC$51="Mayor"),CONCATENATE("R8C",'Mapa final'!$Q$51),"")</f>
        <v/>
      </c>
      <c r="AC33" s="39" t="str">
        <f>IF(AND('Mapa final'!$AA$52="Media",'Mapa final'!$AC$52="Mayor"),CONCATENATE("R8C",'Mapa final'!$Q$52),"")</f>
        <v/>
      </c>
      <c r="AD33" s="44" t="str">
        <f>IF(AND('Mapa final'!$AA$53="Media",'Mapa final'!$AC$53="Mayor"),CONCATENATE("R8C",'Mapa final'!$Q$53),"")</f>
        <v/>
      </c>
      <c r="AE33" s="44" t="str">
        <f>IF(AND('Mapa final'!$AA$54="Media",'Mapa final'!$AC$54="Mayor"),CONCATENATE("R8C",'Mapa final'!$Q$54),"")</f>
        <v/>
      </c>
      <c r="AF33" s="44" t="str">
        <f>IF(AND('Mapa final'!$AA$55="Media",'Mapa final'!$AC$55="Mayor"),CONCATENATE("R8C",'Mapa final'!$Q$55),"")</f>
        <v/>
      </c>
      <c r="AG33" s="40" t="str">
        <f>IF(AND('Mapa final'!$AA$56="Media",'Mapa final'!$AC$56="Mayor"),CONCATENATE("R8C",'Mapa final'!$Q$56),"")</f>
        <v/>
      </c>
      <c r="AH33" s="41" t="str">
        <f>IF(AND('Mapa final'!$AA$51="Media",'Mapa final'!$AC$51="Catastrófico"),CONCATENATE("R8C",'Mapa final'!$Q$51),"")</f>
        <v/>
      </c>
      <c r="AI33" s="42" t="str">
        <f>IF(AND('Mapa final'!$AA$52="Media",'Mapa final'!$AC$52="Catastrófico"),CONCATENATE("R8C",'Mapa final'!$Q$52),"")</f>
        <v/>
      </c>
      <c r="AJ33" s="42" t="str">
        <f>IF(AND('Mapa final'!$AA$53="Media",'Mapa final'!$AC$53="Catastrófico"),CONCATENATE("R8C",'Mapa final'!$Q$53),"")</f>
        <v/>
      </c>
      <c r="AK33" s="42" t="str">
        <f>IF(AND('Mapa final'!$AA$54="Media",'Mapa final'!$AC$54="Catastrófico"),CONCATENATE("R8C",'Mapa final'!$Q$54),"")</f>
        <v/>
      </c>
      <c r="AL33" s="42" t="str">
        <f>IF(AND('Mapa final'!$AA$55="Media",'Mapa final'!$AC$55="Catastrófico"),CONCATENATE("R8C",'Mapa final'!$Q$55),"")</f>
        <v/>
      </c>
      <c r="AM33" s="43" t="str">
        <f>IF(AND('Mapa final'!$AA$56="Media",'Mapa final'!$AC$56="Catastrófico"),CONCATENATE("R8C",'Mapa final'!$Q$56),"")</f>
        <v/>
      </c>
      <c r="AN33" s="70"/>
      <c r="AO33" s="370"/>
      <c r="AP33" s="371"/>
      <c r="AQ33" s="371"/>
      <c r="AR33" s="371"/>
      <c r="AS33" s="371"/>
      <c r="AT33" s="37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39"/>
      <c r="C34" s="239"/>
      <c r="D34" s="240"/>
      <c r="E34" s="340"/>
      <c r="F34" s="341"/>
      <c r="G34" s="341"/>
      <c r="H34" s="341"/>
      <c r="I34" s="356"/>
      <c r="J34" s="54" t="str">
        <f>IF(AND('Mapa final'!$AA$57="Media",'Mapa final'!$AC$57="Leve"),CONCATENATE("R9C",'Mapa final'!$Q$57),"")</f>
        <v/>
      </c>
      <c r="K34" s="55" t="str">
        <f>IF(AND('Mapa final'!$AA$58="Media",'Mapa final'!$AC$58="Leve"),CONCATENATE("R9C",'Mapa final'!$Q$58),"")</f>
        <v/>
      </c>
      <c r="L34" s="55" t="str">
        <f>IF(AND('Mapa final'!$AA$59="Media",'Mapa final'!$AC$59="Leve"),CONCATENATE("R9C",'Mapa final'!$Q$59),"")</f>
        <v/>
      </c>
      <c r="M34" s="55" t="str">
        <f>IF(AND('Mapa final'!$AA$60="Media",'Mapa final'!$AC$60="Leve"),CONCATENATE("R9C",'Mapa final'!$Q$60),"")</f>
        <v/>
      </c>
      <c r="N34" s="55" t="str">
        <f>IF(AND('Mapa final'!$AA$61="Media",'Mapa final'!$AC$61="Leve"),CONCATENATE("R9C",'Mapa final'!$Q$61),"")</f>
        <v/>
      </c>
      <c r="O34" s="56" t="str">
        <f>IF(AND('Mapa final'!$AA$62="Media",'Mapa final'!$AC$62="Leve"),CONCATENATE("R9C",'Mapa final'!$Q$62),"")</f>
        <v/>
      </c>
      <c r="P34" s="54" t="str">
        <f>IF(AND('Mapa final'!$AA$57="Media",'Mapa final'!$AC$57="Menor"),CONCATENATE("R9C",'Mapa final'!$Q$57),"")</f>
        <v/>
      </c>
      <c r="Q34" s="55" t="str">
        <f>IF(AND('Mapa final'!$AA$58="Media",'Mapa final'!$AC$58="Menor"),CONCATENATE("R9C",'Mapa final'!$Q$58),"")</f>
        <v/>
      </c>
      <c r="R34" s="55" t="str">
        <f>IF(AND('Mapa final'!$AA$59="Media",'Mapa final'!$AC$59="Menor"),CONCATENATE("R9C",'Mapa final'!$Q$59),"")</f>
        <v/>
      </c>
      <c r="S34" s="55" t="str">
        <f>IF(AND('Mapa final'!$AA$60="Media",'Mapa final'!$AC$60="Menor"),CONCATENATE("R9C",'Mapa final'!$Q$60),"")</f>
        <v/>
      </c>
      <c r="T34" s="55" t="str">
        <f>IF(AND('Mapa final'!$AA$61="Media",'Mapa final'!$AC$61="Menor"),CONCATENATE("R9C",'Mapa final'!$Q$61),"")</f>
        <v/>
      </c>
      <c r="U34" s="56" t="str">
        <f>IF(AND('Mapa final'!$AA$62="Media",'Mapa final'!$AC$62="Menor"),CONCATENATE("R9C",'Mapa final'!$Q$62),"")</f>
        <v/>
      </c>
      <c r="V34" s="54" t="str">
        <f>IF(AND('Mapa final'!$AA$57="Media",'Mapa final'!$AC$57="Moderado"),CONCATENATE("R9C",'Mapa final'!$Q$57),"")</f>
        <v/>
      </c>
      <c r="W34" s="55" t="str">
        <f>IF(AND('Mapa final'!$AA$58="Media",'Mapa final'!$AC$58="Moderado"),CONCATENATE("R9C",'Mapa final'!$Q$58),"")</f>
        <v/>
      </c>
      <c r="X34" s="55" t="str">
        <f>IF(AND('Mapa final'!$AA$59="Media",'Mapa final'!$AC$59="Moderado"),CONCATENATE("R9C",'Mapa final'!$Q$59),"")</f>
        <v/>
      </c>
      <c r="Y34" s="55" t="str">
        <f>IF(AND('Mapa final'!$AA$60="Media",'Mapa final'!$AC$60="Moderado"),CONCATENATE("R9C",'Mapa final'!$Q$60),"")</f>
        <v/>
      </c>
      <c r="Z34" s="55" t="str">
        <f>IF(AND('Mapa final'!$AA$61="Media",'Mapa final'!$AC$61="Moderado"),CONCATENATE("R9C",'Mapa final'!$Q$61),"")</f>
        <v/>
      </c>
      <c r="AA34" s="56" t="str">
        <f>IF(AND('Mapa final'!$AA$62="Media",'Mapa final'!$AC$62="Moderado"),CONCATENATE("R9C",'Mapa final'!$Q$62),"")</f>
        <v/>
      </c>
      <c r="AB34" s="38" t="str">
        <f>IF(AND('Mapa final'!$AA$57="Media",'Mapa final'!$AC$57="Mayor"),CONCATENATE("R9C",'Mapa final'!$Q$57),"")</f>
        <v/>
      </c>
      <c r="AC34" s="39" t="str">
        <f>IF(AND('Mapa final'!$AA$58="Media",'Mapa final'!$AC$58="Mayor"),CONCATENATE("R9C",'Mapa final'!$Q$58),"")</f>
        <v/>
      </c>
      <c r="AD34" s="44" t="str">
        <f>IF(AND('Mapa final'!$AA$59="Media",'Mapa final'!$AC$59="Mayor"),CONCATENATE("R9C",'Mapa final'!$Q$59),"")</f>
        <v/>
      </c>
      <c r="AE34" s="44" t="str">
        <f>IF(AND('Mapa final'!$AA$60="Media",'Mapa final'!$AC$60="Mayor"),CONCATENATE("R9C",'Mapa final'!$Q$60),"")</f>
        <v/>
      </c>
      <c r="AF34" s="44" t="str">
        <f>IF(AND('Mapa final'!$AA$61="Media",'Mapa final'!$AC$61="Mayor"),CONCATENATE("R9C",'Mapa final'!$Q$61),"")</f>
        <v/>
      </c>
      <c r="AG34" s="40" t="str">
        <f>IF(AND('Mapa final'!$AA$62="Media",'Mapa final'!$AC$62="Mayor"),CONCATENATE("R9C",'Mapa final'!$Q$62),"")</f>
        <v/>
      </c>
      <c r="AH34" s="41" t="str">
        <f>IF(AND('Mapa final'!$AA$57="Media",'Mapa final'!$AC$57="Catastrófico"),CONCATENATE("R9C",'Mapa final'!$Q$57),"")</f>
        <v/>
      </c>
      <c r="AI34" s="42" t="str">
        <f>IF(AND('Mapa final'!$AA$58="Media",'Mapa final'!$AC$58="Catastrófico"),CONCATENATE("R9C",'Mapa final'!$Q$58),"")</f>
        <v/>
      </c>
      <c r="AJ34" s="42" t="str">
        <f>IF(AND('Mapa final'!$AA$59="Media",'Mapa final'!$AC$59="Catastrófico"),CONCATENATE("R9C",'Mapa final'!$Q$59),"")</f>
        <v/>
      </c>
      <c r="AK34" s="42" t="str">
        <f>IF(AND('Mapa final'!$AA$60="Media",'Mapa final'!$AC$60="Catastrófico"),CONCATENATE("R9C",'Mapa final'!$Q$60),"")</f>
        <v/>
      </c>
      <c r="AL34" s="42" t="str">
        <f>IF(AND('Mapa final'!$AA$61="Media",'Mapa final'!$AC$61="Catastrófico"),CONCATENATE("R9C",'Mapa final'!$Q$61),"")</f>
        <v/>
      </c>
      <c r="AM34" s="43" t="str">
        <f>IF(AND('Mapa final'!$AA$62="Media",'Mapa final'!$AC$62="Catastrófico"),CONCATENATE("R9C",'Mapa final'!$Q$62),"")</f>
        <v/>
      </c>
      <c r="AN34" s="70"/>
      <c r="AO34" s="370"/>
      <c r="AP34" s="371"/>
      <c r="AQ34" s="371"/>
      <c r="AR34" s="371"/>
      <c r="AS34" s="371"/>
      <c r="AT34" s="37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39"/>
      <c r="C35" s="239"/>
      <c r="D35" s="240"/>
      <c r="E35" s="342"/>
      <c r="F35" s="343"/>
      <c r="G35" s="343"/>
      <c r="H35" s="343"/>
      <c r="I35" s="357"/>
      <c r="J35" s="54" t="str">
        <f>IF(AND('Mapa final'!$AA$63="Media",'Mapa final'!$AC$63="Leve"),CONCATENATE("R10C",'Mapa final'!$Q$63),"")</f>
        <v/>
      </c>
      <c r="K35" s="55" t="str">
        <f>IF(AND('Mapa final'!$AA$64="Media",'Mapa final'!$AC$64="Leve"),CONCATENATE("R10C",'Mapa final'!$Q$64),"")</f>
        <v/>
      </c>
      <c r="L35" s="55" t="str">
        <f>IF(AND('Mapa final'!$AA$65="Media",'Mapa final'!$AC$65="Leve"),CONCATENATE("R10C",'Mapa final'!$Q$65),"")</f>
        <v/>
      </c>
      <c r="M35" s="55" t="str">
        <f>IF(AND('Mapa final'!$AA$66="Media",'Mapa final'!$AC$66="Leve"),CONCATENATE("R10C",'Mapa final'!$Q$66),"")</f>
        <v/>
      </c>
      <c r="N35" s="55" t="str">
        <f>IF(AND('Mapa final'!$AA$67="Media",'Mapa final'!$AC$67="Leve"),CONCATENATE("R10C",'Mapa final'!$Q$67),"")</f>
        <v/>
      </c>
      <c r="O35" s="56" t="str">
        <f>IF(AND('Mapa final'!$AA$68="Media",'Mapa final'!$AC$68="Leve"),CONCATENATE("R10C",'Mapa final'!$Q$68),"")</f>
        <v/>
      </c>
      <c r="P35" s="54" t="str">
        <f>IF(AND('Mapa final'!$AA$63="Media",'Mapa final'!$AC$63="Menor"),CONCATENATE("R10C",'Mapa final'!$Q$63),"")</f>
        <v/>
      </c>
      <c r="Q35" s="55" t="str">
        <f>IF(AND('Mapa final'!$AA$64="Media",'Mapa final'!$AC$64="Menor"),CONCATENATE("R10C",'Mapa final'!$Q$64),"")</f>
        <v/>
      </c>
      <c r="R35" s="55" t="str">
        <f>IF(AND('Mapa final'!$AA$65="Media",'Mapa final'!$AC$65="Menor"),CONCATENATE("R10C",'Mapa final'!$Q$65),"")</f>
        <v/>
      </c>
      <c r="S35" s="55" t="str">
        <f>IF(AND('Mapa final'!$AA$66="Media",'Mapa final'!$AC$66="Menor"),CONCATENATE("R10C",'Mapa final'!$Q$66),"")</f>
        <v/>
      </c>
      <c r="T35" s="55" t="str">
        <f>IF(AND('Mapa final'!$AA$67="Media",'Mapa final'!$AC$67="Menor"),CONCATENATE("R10C",'Mapa final'!$Q$67),"")</f>
        <v/>
      </c>
      <c r="U35" s="56" t="str">
        <f>IF(AND('Mapa final'!$AA$68="Media",'Mapa final'!$AC$68="Menor"),CONCATENATE("R10C",'Mapa final'!$Q$68),"")</f>
        <v/>
      </c>
      <c r="V35" s="54" t="str">
        <f>IF(AND('Mapa final'!$AA$63="Media",'Mapa final'!$AC$63="Moderado"),CONCATENATE("R10C",'Mapa final'!$Q$63),"")</f>
        <v/>
      </c>
      <c r="W35" s="55" t="str">
        <f>IF(AND('Mapa final'!$AA$64="Media",'Mapa final'!$AC$64="Moderado"),CONCATENATE("R10C",'Mapa final'!$Q$64),"")</f>
        <v/>
      </c>
      <c r="X35" s="55" t="str">
        <f>IF(AND('Mapa final'!$AA$65="Media",'Mapa final'!$AC$65="Moderado"),CONCATENATE("R10C",'Mapa final'!$Q$65),"")</f>
        <v/>
      </c>
      <c r="Y35" s="55" t="str">
        <f>IF(AND('Mapa final'!$AA$66="Media",'Mapa final'!$AC$66="Moderado"),CONCATENATE("R10C",'Mapa final'!$Q$66),"")</f>
        <v/>
      </c>
      <c r="Z35" s="55" t="str">
        <f>IF(AND('Mapa final'!$AA$67="Media",'Mapa final'!$AC$67="Moderado"),CONCATENATE("R10C",'Mapa final'!$Q$67),"")</f>
        <v/>
      </c>
      <c r="AA35" s="56" t="str">
        <f>IF(AND('Mapa final'!$AA$68="Media",'Mapa final'!$AC$68="Moderado"),CONCATENATE("R10C",'Mapa final'!$Q$68),"")</f>
        <v/>
      </c>
      <c r="AB35" s="45" t="str">
        <f>IF(AND('Mapa final'!$AA$63="Media",'Mapa final'!$AC$63="Mayor"),CONCATENATE("R10C",'Mapa final'!$Q$63),"")</f>
        <v/>
      </c>
      <c r="AC35" s="46" t="str">
        <f>IF(AND('Mapa final'!$AA$64="Media",'Mapa final'!$AC$64="Mayor"),CONCATENATE("R10C",'Mapa final'!$Q$64),"")</f>
        <v/>
      </c>
      <c r="AD35" s="46" t="str">
        <f>IF(AND('Mapa final'!$AA$65="Media",'Mapa final'!$AC$65="Mayor"),CONCATENATE("R10C",'Mapa final'!$Q$65),"")</f>
        <v/>
      </c>
      <c r="AE35" s="46" t="str">
        <f>IF(AND('Mapa final'!$AA$66="Media",'Mapa final'!$AC$66="Mayor"),CONCATENATE("R10C",'Mapa final'!$Q$66),"")</f>
        <v/>
      </c>
      <c r="AF35" s="46" t="str">
        <f>IF(AND('Mapa final'!$AA$67="Media",'Mapa final'!$AC$67="Mayor"),CONCATENATE("R10C",'Mapa final'!$Q$67),"")</f>
        <v/>
      </c>
      <c r="AG35" s="47" t="str">
        <f>IF(AND('Mapa final'!$AA$68="Media",'Mapa final'!$AC$68="Mayor"),CONCATENATE("R10C",'Mapa final'!$Q$68),"")</f>
        <v/>
      </c>
      <c r="AH35" s="48" t="str">
        <f>IF(AND('Mapa final'!$AA$63="Media",'Mapa final'!$AC$63="Catastrófico"),CONCATENATE("R10C",'Mapa final'!$Q$63),"")</f>
        <v/>
      </c>
      <c r="AI35" s="49" t="str">
        <f>IF(AND('Mapa final'!$AA$64="Media",'Mapa final'!$AC$64="Catastrófico"),CONCATENATE("R10C",'Mapa final'!$Q$64),"")</f>
        <v/>
      </c>
      <c r="AJ35" s="49" t="str">
        <f>IF(AND('Mapa final'!$AA$65="Media",'Mapa final'!$AC$65="Catastrófico"),CONCATENATE("R10C",'Mapa final'!$Q$65),"")</f>
        <v/>
      </c>
      <c r="AK35" s="49" t="str">
        <f>IF(AND('Mapa final'!$AA$66="Media",'Mapa final'!$AC$66="Catastrófico"),CONCATENATE("R10C",'Mapa final'!$Q$66),"")</f>
        <v/>
      </c>
      <c r="AL35" s="49" t="str">
        <f>IF(AND('Mapa final'!$AA$67="Media",'Mapa final'!$AC$67="Catastrófico"),CONCATENATE("R10C",'Mapa final'!$Q$67),"")</f>
        <v/>
      </c>
      <c r="AM35" s="50" t="str">
        <f>IF(AND('Mapa final'!$AA$68="Media",'Mapa final'!$AC$68="Catastrófico"),CONCATENATE("R10C",'Mapa final'!$Q$68),"")</f>
        <v/>
      </c>
      <c r="AN35" s="70"/>
      <c r="AO35" s="373"/>
      <c r="AP35" s="374"/>
      <c r="AQ35" s="374"/>
      <c r="AR35" s="374"/>
      <c r="AS35" s="374"/>
      <c r="AT35" s="37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39"/>
      <c r="C36" s="239"/>
      <c r="D36" s="240"/>
      <c r="E36" s="336" t="s">
        <v>110</v>
      </c>
      <c r="F36" s="337"/>
      <c r="G36" s="337"/>
      <c r="H36" s="337"/>
      <c r="I36" s="337"/>
      <c r="J36" s="60" t="str">
        <f>IF(AND('Mapa final'!$AA$9="Baja",'Mapa final'!$AC$9="Leve"),CONCATENATE("R1C",'Mapa final'!$Q$9),"")</f>
        <v/>
      </c>
      <c r="K36" s="61" t="str">
        <f>IF(AND('Mapa final'!$AA$10="Baja",'Mapa final'!$AC$10="Leve"),CONCATENATE("R1C",'Mapa final'!$Q$10),"")</f>
        <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IF(AND('Mapa final'!$AA$9="Baja",'Mapa final'!$AC$9="Menor"),CONCATENATE("R1C",'Mapa final'!$Q$9),"")</f>
        <v/>
      </c>
      <c r="Q36" s="52" t="str">
        <f>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IF(AND('Mapa final'!$AA$9="Baja",'Mapa final'!$AC$9="Moderado"),CONCATENATE("R1C",'Mapa final'!$Q$9),"")</f>
        <v/>
      </c>
      <c r="W36" s="52" t="str">
        <f>IF(AND('Mapa final'!$AA$10="Baja",'Mapa final'!$AC$10="Moderado"),CONCATENATE("R1C",'Mapa final'!$Q$10),"")</f>
        <v/>
      </c>
      <c r="X36" s="52" t="str">
        <f>IF(AND('Mapa final'!$AA$11="Baja",'Mapa final'!$AC$11="Moderado"),CONCATENATE("R1C",'Mapa final'!$Q$11),"")</f>
        <v>R1C3</v>
      </c>
      <c r="Y36" s="52" t="str">
        <f>IF(AND('Mapa final'!$AA$12="Baja",'Mapa final'!$AC$12="Moderado"),CONCATENATE("R1C",'Mapa final'!$Q$12),"")</f>
        <v>R1C4</v>
      </c>
      <c r="Z36" s="52" t="str">
        <f>IF(AND('Mapa final'!$AA$13="Baja",'Mapa final'!$AC$13="Moderado"),CONCATENATE("R1C",'Mapa final'!$Q$13),"")</f>
        <v/>
      </c>
      <c r="AA36" s="53" t="str">
        <f>IF(AND('Mapa final'!$AA$14="Baja",'Mapa final'!$AC$14="Moderado"),CONCATENATE("R1C",'Mapa final'!$Q$14),"")</f>
        <v/>
      </c>
      <c r="AB36" s="32" t="str">
        <f>IF(AND('Mapa final'!$AA$9="Baja",'Mapa final'!$AC$9="Mayor"),CONCATENATE("R1C",'Mapa final'!$Q$9),"")</f>
        <v>R1C1</v>
      </c>
      <c r="AC36" s="33" t="str">
        <f>IF(AND('Mapa final'!$AA$10="Baja",'Mapa final'!$AC$10="Mayor"),CONCATENATE("R1C",'Mapa final'!$Q$10),"")</f>
        <v>R1C2</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IF(AND('Mapa final'!$AA$9="Baja",'Mapa final'!$AC$9="Catastrófico"),CONCATENATE("R1C",'Mapa final'!$Q$9),"")</f>
        <v/>
      </c>
      <c r="AI36" s="36" t="str">
        <f>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8" t="s">
        <v>78</v>
      </c>
      <c r="AP36" s="359"/>
      <c r="AQ36" s="359"/>
      <c r="AR36" s="359"/>
      <c r="AS36" s="359"/>
      <c r="AT36" s="36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39"/>
      <c r="C37" s="239"/>
      <c r="D37" s="240"/>
      <c r="E37" s="338"/>
      <c r="F37" s="339"/>
      <c r="G37" s="339"/>
      <c r="H37" s="339"/>
      <c r="I37" s="339"/>
      <c r="J37" s="63" t="str">
        <f>IF(AND('Mapa final'!$AA$15="Baja",'Mapa final'!$AC$15="Leve"),CONCATENATE("R2C",'Mapa final'!$Q$15),"")</f>
        <v/>
      </c>
      <c r="K37" s="64" t="str">
        <f>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IF(AND('Mapa final'!$AA$15="Baja",'Mapa final'!$AC$15="Menor"),CONCATENATE("R2C",'Mapa final'!$Q$15),"")</f>
        <v/>
      </c>
      <c r="Q37" s="55" t="str">
        <f>IF(AND('Mapa final'!$AA$16="Baja",'Mapa final'!$AC$16="Menor"),CONCATENATE("R2C",'Mapa final'!$Q$16),"")</f>
        <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IF(AND('Mapa final'!$AA$15="Baja",'Mapa final'!$AC$15="Moderado"),CONCATENATE("R2C",'Mapa final'!$Q$15),"")</f>
        <v/>
      </c>
      <c r="W37" s="55" t="str">
        <f>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IF(AND('Mapa final'!$AA$15="Baja",'Mapa final'!$AC$15="Mayor"),CONCATENATE("R2C",'Mapa final'!$Q$15),"")</f>
        <v/>
      </c>
      <c r="AC37" s="39" t="str">
        <f>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IF(AND('Mapa final'!$AA$15="Baja",'Mapa final'!$AC$15="Catastrófico"),CONCATENATE("R2C",'Mapa final'!$Q$15),"")</f>
        <v/>
      </c>
      <c r="AI37" s="42" t="str">
        <f>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61"/>
      <c r="AP37" s="362"/>
      <c r="AQ37" s="362"/>
      <c r="AR37" s="362"/>
      <c r="AS37" s="362"/>
      <c r="AT37" s="36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39"/>
      <c r="C38" s="239"/>
      <c r="D38" s="240"/>
      <c r="E38" s="340"/>
      <c r="F38" s="341"/>
      <c r="G38" s="341"/>
      <c r="H38" s="341"/>
      <c r="I38" s="339"/>
      <c r="J38" s="63" t="str">
        <f>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IF(AND('Mapa final'!$AA$21="Baja",'Mapa final'!$AC$21="Menor"),CONCATENATE("R3C",'Mapa final'!$Q$21),"")</f>
        <v/>
      </c>
      <c r="Q38" s="55" t="str">
        <f>IF(AND('Mapa final'!$AA$22="Baja",'Mapa final'!$AC$22="Menor"),CONCATENATE("R3C",'Mapa final'!$Q$22),"")</f>
        <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61"/>
      <c r="AP38" s="362"/>
      <c r="AQ38" s="362"/>
      <c r="AR38" s="362"/>
      <c r="AS38" s="362"/>
      <c r="AT38" s="363"/>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39"/>
      <c r="C39" s="239"/>
      <c r="D39" s="240"/>
      <c r="E39" s="340"/>
      <c r="F39" s="341"/>
      <c r="G39" s="341"/>
      <c r="H39" s="341"/>
      <c r="I39" s="339"/>
      <c r="J39" s="63" t="str">
        <f>IF(AND('Mapa final'!$AA$27="Baja",'Mapa final'!$AC$27="Leve"),CONCATENATE("R4C",'Mapa final'!$Q$27),"")</f>
        <v/>
      </c>
      <c r="K39" s="64" t="str">
        <f>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IF(AND('Mapa final'!$AA$27="Baja",'Mapa final'!$AC$27="Menor"),CONCATENATE("R4C",'Mapa final'!$Q$27),"")</f>
        <v/>
      </c>
      <c r="Q39" s="55" t="str">
        <f>IF(AND('Mapa final'!$AA$28="Baja",'Mapa final'!$AC$28="Menor"),CONCATENATE("R4C",'Mapa final'!$Q$28),"")</f>
        <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IF(AND('Mapa final'!$AA$27="Baja",'Mapa final'!$AC$27="Moderado"),CONCATENATE("R4C",'Mapa final'!$Q$27),"")</f>
        <v/>
      </c>
      <c r="W39" s="55" t="str">
        <f>IF(AND('Mapa final'!$AA$28="Baja",'Mapa final'!$AC$28="Moderado"),CONCATENATE("R4C",'Mapa final'!$Q$28),"")</f>
        <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IF(AND('Mapa final'!$AA$27="Baja",'Mapa final'!$AC$27="Mayor"),CONCATENATE("R4C",'Mapa final'!$Q$27),"")</f>
        <v/>
      </c>
      <c r="AC39" s="39" t="str">
        <f>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IF(AND('Mapa final'!$AA$27="Baja",'Mapa final'!$AC$27="Catastrófico"),CONCATENATE("R4C",'Mapa final'!$Q$27),"")</f>
        <v/>
      </c>
      <c r="AI39" s="42" t="str">
        <f>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61"/>
      <c r="AP39" s="362"/>
      <c r="AQ39" s="362"/>
      <c r="AR39" s="362"/>
      <c r="AS39" s="362"/>
      <c r="AT39" s="363"/>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39"/>
      <c r="C40" s="239"/>
      <c r="D40" s="240"/>
      <c r="E40" s="340"/>
      <c r="F40" s="341"/>
      <c r="G40" s="341"/>
      <c r="H40" s="341"/>
      <c r="I40" s="339"/>
      <c r="J40" s="63" t="str">
        <f>IF(AND('Mapa final'!$AA$33="Baja",'Mapa final'!$AC$33="Leve"),CONCATENATE("R5C",'Mapa final'!$Q$33),"")</f>
        <v/>
      </c>
      <c r="K40" s="64" t="str">
        <f>IF(AND('Mapa final'!$AA$34="Baja",'Mapa final'!$AC$34="Leve"),CONCATENATE("R5C",'Mapa final'!$Q$34),"")</f>
        <v/>
      </c>
      <c r="L40" s="64" t="str">
        <f>IF(AND('Mapa final'!$AA$35="Baja",'Mapa final'!$AC$35="Leve"),CONCATENATE("R5C",'Mapa final'!$Q$35),"")</f>
        <v/>
      </c>
      <c r="M40" s="64" t="str">
        <f>IF(AND('Mapa final'!$AA$36="Baja",'Mapa final'!$AC$36="Leve"),CONCATENATE("R5C",'Mapa final'!$Q$36),"")</f>
        <v/>
      </c>
      <c r="N40" s="64" t="str">
        <f>IF(AND('Mapa final'!$AA$37="Baja",'Mapa final'!$AC$37="Leve"),CONCATENATE("R5C",'Mapa final'!$Q$37),"")</f>
        <v/>
      </c>
      <c r="O40" s="65" t="str">
        <f>IF(AND('Mapa final'!$AA$38="Baja",'Mapa final'!$AC$38="Leve"),CONCATENATE("R5C",'Mapa final'!$Q$38),"")</f>
        <v/>
      </c>
      <c r="P40" s="54" t="str">
        <f>IF(AND('Mapa final'!$AA$33="Baja",'Mapa final'!$AC$33="Menor"),CONCATENATE("R5C",'Mapa final'!$Q$33),"")</f>
        <v/>
      </c>
      <c r="Q40" s="55" t="str">
        <f>IF(AND('Mapa final'!$AA$34="Baja",'Mapa final'!$AC$34="Menor"),CONCATENATE("R5C",'Mapa final'!$Q$34),"")</f>
        <v/>
      </c>
      <c r="R40" s="55" t="str">
        <f>IF(AND('Mapa final'!$AA$35="Baja",'Mapa final'!$AC$35="Menor"),CONCATENATE("R5C",'Mapa final'!$Q$35),"")</f>
        <v/>
      </c>
      <c r="S40" s="55" t="str">
        <f>IF(AND('Mapa final'!$AA$36="Baja",'Mapa final'!$AC$36="Menor"),CONCATENATE("R5C",'Mapa final'!$Q$36),"")</f>
        <v/>
      </c>
      <c r="T40" s="55" t="str">
        <f>IF(AND('Mapa final'!$AA$37="Baja",'Mapa final'!$AC$37="Menor"),CONCATENATE("R5C",'Mapa final'!$Q$37),"")</f>
        <v/>
      </c>
      <c r="U40" s="56" t="str">
        <f>IF(AND('Mapa final'!$AA$38="Baja",'Mapa final'!$AC$38="Menor"),CONCATENATE("R5C",'Mapa final'!$Q$38),"")</f>
        <v/>
      </c>
      <c r="V40" s="54" t="str">
        <f>IF(AND('Mapa final'!$AA$33="Baja",'Mapa final'!$AC$33="Moderado"),CONCATENATE("R5C",'Mapa final'!$Q$33),"")</f>
        <v/>
      </c>
      <c r="W40" s="55" t="str">
        <f>IF(AND('Mapa final'!$AA$34="Baja",'Mapa final'!$AC$34="Moderado"),CONCATENATE("R5C",'Mapa final'!$Q$34),"")</f>
        <v/>
      </c>
      <c r="X40" s="55" t="str">
        <f>IF(AND('Mapa final'!$AA$35="Baja",'Mapa final'!$AC$35="Moderado"),CONCATENATE("R5C",'Mapa final'!$Q$35),"")</f>
        <v/>
      </c>
      <c r="Y40" s="55" t="str">
        <f>IF(AND('Mapa final'!$AA$36="Baja",'Mapa final'!$AC$36="Moderado"),CONCATENATE("R5C",'Mapa final'!$Q$36),"")</f>
        <v/>
      </c>
      <c r="Z40" s="55" t="str">
        <f>IF(AND('Mapa final'!$AA$37="Baja",'Mapa final'!$AC$37="Moderado"),CONCATENATE("R5C",'Mapa final'!$Q$37),"")</f>
        <v/>
      </c>
      <c r="AA40" s="56" t="str">
        <f>IF(AND('Mapa final'!$AA$38="Baja",'Mapa final'!$AC$38="Moderado"),CONCATENATE("R5C",'Mapa final'!$Q$38),"")</f>
        <v/>
      </c>
      <c r="AB40" s="38" t="str">
        <f>IF(AND('Mapa final'!$AA$33="Baja",'Mapa final'!$AC$33="Mayor"),CONCATENATE("R5C",'Mapa final'!$Q$33),"")</f>
        <v/>
      </c>
      <c r="AC40" s="39" t="str">
        <f>IF(AND('Mapa final'!$AA$34="Baja",'Mapa final'!$AC$34="Mayor"),CONCATENATE("R5C",'Mapa final'!$Q$34),"")</f>
        <v/>
      </c>
      <c r="AD40" s="44" t="str">
        <f>IF(AND('Mapa final'!$AA$35="Baja",'Mapa final'!$AC$35="Mayor"),CONCATENATE("R5C",'Mapa final'!$Q$35),"")</f>
        <v/>
      </c>
      <c r="AE40" s="44" t="str">
        <f>IF(AND('Mapa final'!$AA$36="Baja",'Mapa final'!$AC$36="Mayor"),CONCATENATE("R5C",'Mapa final'!$Q$36),"")</f>
        <v/>
      </c>
      <c r="AF40" s="44" t="str">
        <f>IF(AND('Mapa final'!$AA$37="Baja",'Mapa final'!$AC$37="Mayor"),CONCATENATE("R5C",'Mapa final'!$Q$37),"")</f>
        <v/>
      </c>
      <c r="AG40" s="40" t="str">
        <f>IF(AND('Mapa final'!$AA$38="Baja",'Mapa final'!$AC$38="Mayor"),CONCATENATE("R5C",'Mapa final'!$Q$38),"")</f>
        <v/>
      </c>
      <c r="AH40" s="41" t="str">
        <f>IF(AND('Mapa final'!$AA$33="Baja",'Mapa final'!$AC$33="Catastrófico"),CONCATENATE("R5C",'Mapa final'!$Q$33),"")</f>
        <v/>
      </c>
      <c r="AI40" s="42" t="str">
        <f>IF(AND('Mapa final'!$AA$34="Baja",'Mapa final'!$AC$34="Catastrófico"),CONCATENATE("R5C",'Mapa final'!$Q$34),"")</f>
        <v/>
      </c>
      <c r="AJ40" s="42" t="str">
        <f>IF(AND('Mapa final'!$AA$35="Baja",'Mapa final'!$AC$35="Catastrófico"),CONCATENATE("R5C",'Mapa final'!$Q$35),"")</f>
        <v/>
      </c>
      <c r="AK40" s="42" t="str">
        <f>IF(AND('Mapa final'!$AA$36="Baja",'Mapa final'!$AC$36="Catastrófico"),CONCATENATE("R5C",'Mapa final'!$Q$36),"")</f>
        <v/>
      </c>
      <c r="AL40" s="42" t="str">
        <f>IF(AND('Mapa final'!$AA$37="Baja",'Mapa final'!$AC$37="Catastrófico"),CONCATENATE("R5C",'Mapa final'!$Q$37),"")</f>
        <v/>
      </c>
      <c r="AM40" s="43" t="str">
        <f>IF(AND('Mapa final'!$AA$38="Baja",'Mapa final'!$AC$38="Catastrófico"),CONCATENATE("R5C",'Mapa final'!$Q$38),"")</f>
        <v/>
      </c>
      <c r="AN40" s="70"/>
      <c r="AO40" s="361"/>
      <c r="AP40" s="362"/>
      <c r="AQ40" s="362"/>
      <c r="AR40" s="362"/>
      <c r="AS40" s="362"/>
      <c r="AT40" s="363"/>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39"/>
      <c r="C41" s="239"/>
      <c r="D41" s="240"/>
      <c r="E41" s="340"/>
      <c r="F41" s="341"/>
      <c r="G41" s="341"/>
      <c r="H41" s="341"/>
      <c r="I41" s="339"/>
      <c r="J41" s="63" t="str">
        <f>IF(AND('Mapa final'!$AA$39="Baja",'Mapa final'!$AC$39="Leve"),CONCATENATE("R6C",'Mapa final'!$Q$39),"")</f>
        <v/>
      </c>
      <c r="K41" s="64" t="str">
        <f>IF(AND('Mapa final'!$AA$40="Baja",'Mapa final'!$AC$40="Leve"),CONCATENATE("R6C",'Mapa final'!$Q$40),"")</f>
        <v/>
      </c>
      <c r="L41" s="64" t="str">
        <f>IF(AND('Mapa final'!$AA$41="Baja",'Mapa final'!$AC$41="Leve"),CONCATENATE("R6C",'Mapa final'!$Q$41),"")</f>
        <v/>
      </c>
      <c r="M41" s="64" t="str">
        <f>IF(AND('Mapa final'!$AA$42="Baja",'Mapa final'!$AC$42="Leve"),CONCATENATE("R6C",'Mapa final'!$Q$42),"")</f>
        <v/>
      </c>
      <c r="N41" s="64" t="str">
        <f>IF(AND('Mapa final'!$AA$43="Baja",'Mapa final'!$AC$43="Leve"),CONCATENATE("R6C",'Mapa final'!$Q$43),"")</f>
        <v/>
      </c>
      <c r="O41" s="65" t="str">
        <f>IF(AND('Mapa final'!$AA$44="Baja",'Mapa final'!$AC$44="Leve"),CONCATENATE("R6C",'Mapa final'!$Q$44),"")</f>
        <v/>
      </c>
      <c r="P41" s="54" t="str">
        <f>IF(AND('Mapa final'!$AA$39="Baja",'Mapa final'!$AC$39="Menor"),CONCATENATE("R6C",'Mapa final'!$Q$39),"")</f>
        <v/>
      </c>
      <c r="Q41" s="55" t="str">
        <f>IF(AND('Mapa final'!$AA$40="Baja",'Mapa final'!$AC$40="Menor"),CONCATENATE("R6C",'Mapa final'!$Q$40),"")</f>
        <v/>
      </c>
      <c r="R41" s="55" t="str">
        <f>IF(AND('Mapa final'!$AA$41="Baja",'Mapa final'!$AC$41="Menor"),CONCATENATE("R6C",'Mapa final'!$Q$41),"")</f>
        <v/>
      </c>
      <c r="S41" s="55" t="str">
        <f>IF(AND('Mapa final'!$AA$42="Baja",'Mapa final'!$AC$42="Menor"),CONCATENATE("R6C",'Mapa final'!$Q$42),"")</f>
        <v/>
      </c>
      <c r="T41" s="55" t="str">
        <f>IF(AND('Mapa final'!$AA$43="Baja",'Mapa final'!$AC$43="Menor"),CONCATENATE("R6C",'Mapa final'!$Q$43),"")</f>
        <v/>
      </c>
      <c r="U41" s="56" t="str">
        <f>IF(AND('Mapa final'!$AA$44="Baja",'Mapa final'!$AC$44="Menor"),CONCATENATE("R6C",'Mapa final'!$Q$44),"")</f>
        <v/>
      </c>
      <c r="V41" s="54" t="str">
        <f>IF(AND('Mapa final'!$AA$39="Baja",'Mapa final'!$AC$39="Moderado"),CONCATENATE("R6C",'Mapa final'!$Q$39),"")</f>
        <v/>
      </c>
      <c r="W41" s="55" t="str">
        <f>IF(AND('Mapa final'!$AA$40="Baja",'Mapa final'!$AC$40="Moderado"),CONCATENATE("R6C",'Mapa final'!$Q$40),"")</f>
        <v/>
      </c>
      <c r="X41" s="55" t="str">
        <f>IF(AND('Mapa final'!$AA$41="Baja",'Mapa final'!$AC$41="Moderado"),CONCATENATE("R6C",'Mapa final'!$Q$41),"")</f>
        <v/>
      </c>
      <c r="Y41" s="55" t="str">
        <f>IF(AND('Mapa final'!$AA$42="Baja",'Mapa final'!$AC$42="Moderado"),CONCATENATE("R6C",'Mapa final'!$Q$42),"")</f>
        <v/>
      </c>
      <c r="Z41" s="55" t="str">
        <f>IF(AND('Mapa final'!$AA$43="Baja",'Mapa final'!$AC$43="Moderado"),CONCATENATE("R6C",'Mapa final'!$Q$43),"")</f>
        <v/>
      </c>
      <c r="AA41" s="56" t="str">
        <f>IF(AND('Mapa final'!$AA$44="Baja",'Mapa final'!$AC$44="Moderado"),CONCATENATE("R6C",'Mapa final'!$Q$44),"")</f>
        <v/>
      </c>
      <c r="AB41" s="38" t="str">
        <f>IF(AND('Mapa final'!$AA$39="Baja",'Mapa final'!$AC$39="Mayor"),CONCATENATE("R6C",'Mapa final'!$Q$39),"")</f>
        <v/>
      </c>
      <c r="AC41" s="39" t="str">
        <f>IF(AND('Mapa final'!$AA$40="Baja",'Mapa final'!$AC$40="Mayor"),CONCATENATE("R6C",'Mapa final'!$Q$40),"")</f>
        <v/>
      </c>
      <c r="AD41" s="44" t="str">
        <f>IF(AND('Mapa final'!$AA$41="Baja",'Mapa final'!$AC$41="Mayor"),CONCATENATE("R6C",'Mapa final'!$Q$41),"")</f>
        <v/>
      </c>
      <c r="AE41" s="44" t="str">
        <f>IF(AND('Mapa final'!$AA$42="Baja",'Mapa final'!$AC$42="Mayor"),CONCATENATE("R6C",'Mapa final'!$Q$42),"")</f>
        <v/>
      </c>
      <c r="AF41" s="44" t="str">
        <f>IF(AND('Mapa final'!$AA$43="Baja",'Mapa final'!$AC$43="Mayor"),CONCATENATE("R6C",'Mapa final'!$Q$43),"")</f>
        <v/>
      </c>
      <c r="AG41" s="40" t="str">
        <f>IF(AND('Mapa final'!$AA$44="Baja",'Mapa final'!$AC$44="Mayor"),CONCATENATE("R6C",'Mapa final'!$Q$44),"")</f>
        <v/>
      </c>
      <c r="AH41" s="41" t="str">
        <f>IF(AND('Mapa final'!$AA$39="Baja",'Mapa final'!$AC$39="Catastrófico"),CONCATENATE("R6C",'Mapa final'!$Q$39),"")</f>
        <v/>
      </c>
      <c r="AI41" s="42" t="str">
        <f>IF(AND('Mapa final'!$AA$40="Baja",'Mapa final'!$AC$40="Catastrófico"),CONCATENATE("R6C",'Mapa final'!$Q$40),"")</f>
        <v/>
      </c>
      <c r="AJ41" s="42" t="str">
        <f>IF(AND('Mapa final'!$AA$41="Baja",'Mapa final'!$AC$41="Catastrófico"),CONCATENATE("R6C",'Mapa final'!$Q$41),"")</f>
        <v/>
      </c>
      <c r="AK41" s="42" t="str">
        <f>IF(AND('Mapa final'!$AA$42="Baja",'Mapa final'!$AC$42="Catastrófico"),CONCATENATE("R6C",'Mapa final'!$Q$42),"")</f>
        <v/>
      </c>
      <c r="AL41" s="42" t="str">
        <f>IF(AND('Mapa final'!$AA$43="Baja",'Mapa final'!$AC$43="Catastrófico"),CONCATENATE("R6C",'Mapa final'!$Q$43),"")</f>
        <v/>
      </c>
      <c r="AM41" s="43" t="str">
        <f>IF(AND('Mapa final'!$AA$44="Baja",'Mapa final'!$AC$44="Catastrófico"),CONCATENATE("R6C",'Mapa final'!$Q$44),"")</f>
        <v/>
      </c>
      <c r="AN41" s="70"/>
      <c r="AO41" s="361"/>
      <c r="AP41" s="362"/>
      <c r="AQ41" s="362"/>
      <c r="AR41" s="362"/>
      <c r="AS41" s="362"/>
      <c r="AT41" s="363"/>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39"/>
      <c r="C42" s="239"/>
      <c r="D42" s="240"/>
      <c r="E42" s="340"/>
      <c r="F42" s="341"/>
      <c r="G42" s="341"/>
      <c r="H42" s="341"/>
      <c r="I42" s="339"/>
      <c r="J42" s="63" t="str">
        <f>IF(AND('Mapa final'!$AA$45="Baja",'Mapa final'!$AC$45="Leve"),CONCATENATE("R7C",'Mapa final'!$Q$45),"")</f>
        <v/>
      </c>
      <c r="K42" s="64" t="str">
        <f>IF(AND('Mapa final'!$AA$46="Baja",'Mapa final'!$AC$46="Leve"),CONCATENATE("R7C",'Mapa final'!$Q$46),"")</f>
        <v/>
      </c>
      <c r="L42" s="64" t="str">
        <f>IF(AND('Mapa final'!$AA$47="Baja",'Mapa final'!$AC$47="Leve"),CONCATENATE("R7C",'Mapa final'!$Q$47),"")</f>
        <v/>
      </c>
      <c r="M42" s="64" t="str">
        <f>IF(AND('Mapa final'!$AA$48="Baja",'Mapa final'!$AC$48="Leve"),CONCATENATE("R7C",'Mapa final'!$Q$48),"")</f>
        <v/>
      </c>
      <c r="N42" s="64" t="str">
        <f>IF(AND('Mapa final'!$AA$49="Baja",'Mapa final'!$AC$49="Leve"),CONCATENATE("R7C",'Mapa final'!$Q$49),"")</f>
        <v/>
      </c>
      <c r="O42" s="65" t="str">
        <f>IF(AND('Mapa final'!$AA$50="Baja",'Mapa final'!$AC$50="Leve"),CONCATENATE("R7C",'Mapa final'!$Q$50),"")</f>
        <v/>
      </c>
      <c r="P42" s="54" t="str">
        <f>IF(AND('Mapa final'!$AA$45="Baja",'Mapa final'!$AC$45="Menor"),CONCATENATE("R7C",'Mapa final'!$Q$45),"")</f>
        <v/>
      </c>
      <c r="Q42" s="55" t="str">
        <f>IF(AND('Mapa final'!$AA$46="Baja",'Mapa final'!$AC$46="Menor"),CONCATENATE("R7C",'Mapa final'!$Q$46),"")</f>
        <v/>
      </c>
      <c r="R42" s="55" t="str">
        <f>IF(AND('Mapa final'!$AA$47="Baja",'Mapa final'!$AC$47="Menor"),CONCATENATE("R7C",'Mapa final'!$Q$47),"")</f>
        <v/>
      </c>
      <c r="S42" s="55" t="str">
        <f>IF(AND('Mapa final'!$AA$48="Baja",'Mapa final'!$AC$48="Menor"),CONCATENATE("R7C",'Mapa final'!$Q$48),"")</f>
        <v/>
      </c>
      <c r="T42" s="55" t="str">
        <f>IF(AND('Mapa final'!$AA$49="Baja",'Mapa final'!$AC$49="Menor"),CONCATENATE("R7C",'Mapa final'!$Q$49),"")</f>
        <v/>
      </c>
      <c r="U42" s="56" t="str">
        <f>IF(AND('Mapa final'!$AA$50="Baja",'Mapa final'!$AC$50="Menor"),CONCATENATE("R7C",'Mapa final'!$Q$50),"")</f>
        <v/>
      </c>
      <c r="V42" s="54" t="str">
        <f>IF(AND('Mapa final'!$AA$45="Baja",'Mapa final'!$AC$45="Moderado"),CONCATENATE("R7C",'Mapa final'!$Q$45),"")</f>
        <v/>
      </c>
      <c r="W42" s="55" t="str">
        <f>IF(AND('Mapa final'!$AA$46="Baja",'Mapa final'!$AC$46="Moderado"),CONCATENATE("R7C",'Mapa final'!$Q$46),"")</f>
        <v/>
      </c>
      <c r="X42" s="55" t="str">
        <f>IF(AND('Mapa final'!$AA$47="Baja",'Mapa final'!$AC$47="Moderado"),CONCATENATE("R7C",'Mapa final'!$Q$47),"")</f>
        <v/>
      </c>
      <c r="Y42" s="55" t="str">
        <f>IF(AND('Mapa final'!$AA$48="Baja",'Mapa final'!$AC$48="Moderado"),CONCATENATE("R7C",'Mapa final'!$Q$48),"")</f>
        <v/>
      </c>
      <c r="Z42" s="55" t="str">
        <f>IF(AND('Mapa final'!$AA$49="Baja",'Mapa final'!$AC$49="Moderado"),CONCATENATE("R7C",'Mapa final'!$Q$49),"")</f>
        <v/>
      </c>
      <c r="AA42" s="56" t="str">
        <f>IF(AND('Mapa final'!$AA$50="Baja",'Mapa final'!$AC$50="Moderado"),CONCATENATE("R7C",'Mapa final'!$Q$50),"")</f>
        <v/>
      </c>
      <c r="AB42" s="38" t="str">
        <f>IF(AND('Mapa final'!$AA$45="Baja",'Mapa final'!$AC$45="Mayor"),CONCATENATE("R7C",'Mapa final'!$Q$45),"")</f>
        <v/>
      </c>
      <c r="AC42" s="39" t="str">
        <f>IF(AND('Mapa final'!$AA$46="Baja",'Mapa final'!$AC$46="Mayor"),CONCATENATE("R7C",'Mapa final'!$Q$46),"")</f>
        <v/>
      </c>
      <c r="AD42" s="44" t="str">
        <f>IF(AND('Mapa final'!$AA$47="Baja",'Mapa final'!$AC$47="Mayor"),CONCATENATE("R7C",'Mapa final'!$Q$47),"")</f>
        <v/>
      </c>
      <c r="AE42" s="44" t="str">
        <f>IF(AND('Mapa final'!$AA$48="Baja",'Mapa final'!$AC$48="Mayor"),CONCATENATE("R7C",'Mapa final'!$Q$48),"")</f>
        <v/>
      </c>
      <c r="AF42" s="44" t="str">
        <f>IF(AND('Mapa final'!$AA$49="Baja",'Mapa final'!$AC$49="Mayor"),CONCATENATE("R7C",'Mapa final'!$Q$49),"")</f>
        <v/>
      </c>
      <c r="AG42" s="40" t="str">
        <f>IF(AND('Mapa final'!$AA$50="Baja",'Mapa final'!$AC$50="Mayor"),CONCATENATE("R7C",'Mapa final'!$Q$50),"")</f>
        <v/>
      </c>
      <c r="AH42" s="41" t="str">
        <f>IF(AND('Mapa final'!$AA$45="Baja",'Mapa final'!$AC$45="Catastrófico"),CONCATENATE("R7C",'Mapa final'!$Q$45),"")</f>
        <v/>
      </c>
      <c r="AI42" s="42" t="str">
        <f>IF(AND('Mapa final'!$AA$46="Baja",'Mapa final'!$AC$46="Catastrófico"),CONCATENATE("R7C",'Mapa final'!$Q$46),"")</f>
        <v/>
      </c>
      <c r="AJ42" s="42" t="str">
        <f>IF(AND('Mapa final'!$AA$47="Baja",'Mapa final'!$AC$47="Catastrófico"),CONCATENATE("R7C",'Mapa final'!$Q$47),"")</f>
        <v/>
      </c>
      <c r="AK42" s="42" t="str">
        <f>IF(AND('Mapa final'!$AA$48="Baja",'Mapa final'!$AC$48="Catastrófico"),CONCATENATE("R7C",'Mapa final'!$Q$48),"")</f>
        <v/>
      </c>
      <c r="AL42" s="42" t="str">
        <f>IF(AND('Mapa final'!$AA$49="Baja",'Mapa final'!$AC$49="Catastrófico"),CONCATENATE("R7C",'Mapa final'!$Q$49),"")</f>
        <v/>
      </c>
      <c r="AM42" s="43" t="str">
        <f>IF(AND('Mapa final'!$AA$50="Baja",'Mapa final'!$AC$50="Catastrófico"),CONCATENATE("R7C",'Mapa final'!$Q$50),"")</f>
        <v/>
      </c>
      <c r="AN42" s="70"/>
      <c r="AO42" s="361"/>
      <c r="AP42" s="362"/>
      <c r="AQ42" s="362"/>
      <c r="AR42" s="362"/>
      <c r="AS42" s="362"/>
      <c r="AT42" s="363"/>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39"/>
      <c r="C43" s="239"/>
      <c r="D43" s="240"/>
      <c r="E43" s="340"/>
      <c r="F43" s="341"/>
      <c r="G43" s="341"/>
      <c r="H43" s="341"/>
      <c r="I43" s="339"/>
      <c r="J43" s="63" t="str">
        <f>IF(AND('Mapa final'!$AA$51="Baja",'Mapa final'!$AC$51="Leve"),CONCATENATE("R8C",'Mapa final'!$Q$51),"")</f>
        <v/>
      </c>
      <c r="K43" s="64" t="str">
        <f>IF(AND('Mapa final'!$AA$52="Baja",'Mapa final'!$AC$52="Leve"),CONCATENATE("R8C",'Mapa final'!$Q$52),"")</f>
        <v/>
      </c>
      <c r="L43" s="64" t="str">
        <f>IF(AND('Mapa final'!$AA$53="Baja",'Mapa final'!$AC$53="Leve"),CONCATENATE("R8C",'Mapa final'!$Q$53),"")</f>
        <v/>
      </c>
      <c r="M43" s="64" t="str">
        <f>IF(AND('Mapa final'!$AA$54="Baja",'Mapa final'!$AC$54="Leve"),CONCATENATE("R8C",'Mapa final'!$Q$54),"")</f>
        <v/>
      </c>
      <c r="N43" s="64" t="str">
        <f>IF(AND('Mapa final'!$AA$55="Baja",'Mapa final'!$AC$55="Leve"),CONCATENATE("R8C",'Mapa final'!$Q$55),"")</f>
        <v/>
      </c>
      <c r="O43" s="65" t="str">
        <f>IF(AND('Mapa final'!$AA$56="Baja",'Mapa final'!$AC$56="Leve"),CONCATENATE("R8C",'Mapa final'!$Q$56),"")</f>
        <v/>
      </c>
      <c r="P43" s="54" t="str">
        <f>IF(AND('Mapa final'!$AA$51="Baja",'Mapa final'!$AC$51="Menor"),CONCATENATE("R8C",'Mapa final'!$Q$51),"")</f>
        <v/>
      </c>
      <c r="Q43" s="55" t="str">
        <f>IF(AND('Mapa final'!$AA$52="Baja",'Mapa final'!$AC$52="Menor"),CONCATENATE("R8C",'Mapa final'!$Q$52),"")</f>
        <v/>
      </c>
      <c r="R43" s="55" t="str">
        <f>IF(AND('Mapa final'!$AA$53="Baja",'Mapa final'!$AC$53="Menor"),CONCATENATE("R8C",'Mapa final'!$Q$53),"")</f>
        <v/>
      </c>
      <c r="S43" s="55" t="str">
        <f>IF(AND('Mapa final'!$AA$54="Baja",'Mapa final'!$AC$54="Menor"),CONCATENATE("R8C",'Mapa final'!$Q$54),"")</f>
        <v/>
      </c>
      <c r="T43" s="55" t="str">
        <f>IF(AND('Mapa final'!$AA$55="Baja",'Mapa final'!$AC$55="Menor"),CONCATENATE("R8C",'Mapa final'!$Q$55),"")</f>
        <v/>
      </c>
      <c r="U43" s="56" t="str">
        <f>IF(AND('Mapa final'!$AA$56="Baja",'Mapa final'!$AC$56="Menor"),CONCATENATE("R8C",'Mapa final'!$Q$56),"")</f>
        <v/>
      </c>
      <c r="V43" s="54" t="str">
        <f>IF(AND('Mapa final'!$AA$51="Baja",'Mapa final'!$AC$51="Moderado"),CONCATENATE("R8C",'Mapa final'!$Q$51),"")</f>
        <v/>
      </c>
      <c r="W43" s="55" t="str">
        <f>IF(AND('Mapa final'!$AA$52="Baja",'Mapa final'!$AC$52="Moderado"),CONCATENATE("R8C",'Mapa final'!$Q$52),"")</f>
        <v/>
      </c>
      <c r="X43" s="55" t="str">
        <f>IF(AND('Mapa final'!$AA$53="Baja",'Mapa final'!$AC$53="Moderado"),CONCATENATE("R8C",'Mapa final'!$Q$53),"")</f>
        <v/>
      </c>
      <c r="Y43" s="55" t="str">
        <f>IF(AND('Mapa final'!$AA$54="Baja",'Mapa final'!$AC$54="Moderado"),CONCATENATE("R8C",'Mapa final'!$Q$54),"")</f>
        <v/>
      </c>
      <c r="Z43" s="55" t="str">
        <f>IF(AND('Mapa final'!$AA$55="Baja",'Mapa final'!$AC$55="Moderado"),CONCATENATE("R8C",'Mapa final'!$Q$55),"")</f>
        <v/>
      </c>
      <c r="AA43" s="56" t="str">
        <f>IF(AND('Mapa final'!$AA$56="Baja",'Mapa final'!$AC$56="Moderado"),CONCATENATE("R8C",'Mapa final'!$Q$56),"")</f>
        <v/>
      </c>
      <c r="AB43" s="38" t="str">
        <f>IF(AND('Mapa final'!$AA$51="Baja",'Mapa final'!$AC$51="Mayor"),CONCATENATE("R8C",'Mapa final'!$Q$51),"")</f>
        <v/>
      </c>
      <c r="AC43" s="39" t="str">
        <f>IF(AND('Mapa final'!$AA$52="Baja",'Mapa final'!$AC$52="Mayor"),CONCATENATE("R8C",'Mapa final'!$Q$52),"")</f>
        <v/>
      </c>
      <c r="AD43" s="44" t="str">
        <f>IF(AND('Mapa final'!$AA$53="Baja",'Mapa final'!$AC$53="Mayor"),CONCATENATE("R8C",'Mapa final'!$Q$53),"")</f>
        <v/>
      </c>
      <c r="AE43" s="44" t="str">
        <f>IF(AND('Mapa final'!$AA$54="Baja",'Mapa final'!$AC$54="Mayor"),CONCATENATE("R8C",'Mapa final'!$Q$54),"")</f>
        <v/>
      </c>
      <c r="AF43" s="44" t="str">
        <f>IF(AND('Mapa final'!$AA$55="Baja",'Mapa final'!$AC$55="Mayor"),CONCATENATE("R8C",'Mapa final'!$Q$55),"")</f>
        <v/>
      </c>
      <c r="AG43" s="40" t="str">
        <f>IF(AND('Mapa final'!$AA$56="Baja",'Mapa final'!$AC$56="Mayor"),CONCATENATE("R8C",'Mapa final'!$Q$56),"")</f>
        <v/>
      </c>
      <c r="AH43" s="41" t="str">
        <f>IF(AND('Mapa final'!$AA$51="Baja",'Mapa final'!$AC$51="Catastrófico"),CONCATENATE("R8C",'Mapa final'!$Q$51),"")</f>
        <v/>
      </c>
      <c r="AI43" s="42" t="str">
        <f>IF(AND('Mapa final'!$AA$52="Baja",'Mapa final'!$AC$52="Catastrófico"),CONCATENATE("R8C",'Mapa final'!$Q$52),"")</f>
        <v/>
      </c>
      <c r="AJ43" s="42" t="str">
        <f>IF(AND('Mapa final'!$AA$53="Baja",'Mapa final'!$AC$53="Catastrófico"),CONCATENATE("R8C",'Mapa final'!$Q$53),"")</f>
        <v/>
      </c>
      <c r="AK43" s="42" t="str">
        <f>IF(AND('Mapa final'!$AA$54="Baja",'Mapa final'!$AC$54="Catastrófico"),CONCATENATE("R8C",'Mapa final'!$Q$54),"")</f>
        <v/>
      </c>
      <c r="AL43" s="42" t="str">
        <f>IF(AND('Mapa final'!$AA$55="Baja",'Mapa final'!$AC$55="Catastrófico"),CONCATENATE("R8C",'Mapa final'!$Q$55),"")</f>
        <v/>
      </c>
      <c r="AM43" s="43" t="str">
        <f>IF(AND('Mapa final'!$AA$56="Baja",'Mapa final'!$AC$56="Catastrófico"),CONCATENATE("R8C",'Mapa final'!$Q$56),"")</f>
        <v/>
      </c>
      <c r="AN43" s="70"/>
      <c r="AO43" s="361"/>
      <c r="AP43" s="362"/>
      <c r="AQ43" s="362"/>
      <c r="AR43" s="362"/>
      <c r="AS43" s="362"/>
      <c r="AT43" s="363"/>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39"/>
      <c r="C44" s="239"/>
      <c r="D44" s="240"/>
      <c r="E44" s="340"/>
      <c r="F44" s="341"/>
      <c r="G44" s="341"/>
      <c r="H44" s="341"/>
      <c r="I44" s="339"/>
      <c r="J44" s="63" t="str">
        <f>IF(AND('Mapa final'!$AA$57="Baja",'Mapa final'!$AC$57="Leve"),CONCATENATE("R9C",'Mapa final'!$Q$57),"")</f>
        <v/>
      </c>
      <c r="K44" s="64" t="str">
        <f>IF(AND('Mapa final'!$AA$58="Baja",'Mapa final'!$AC$58="Leve"),CONCATENATE("R9C",'Mapa final'!$Q$58),"")</f>
        <v/>
      </c>
      <c r="L44" s="64" t="str">
        <f>IF(AND('Mapa final'!$AA$59="Baja",'Mapa final'!$AC$59="Leve"),CONCATENATE("R9C",'Mapa final'!$Q$59),"")</f>
        <v/>
      </c>
      <c r="M44" s="64" t="str">
        <f>IF(AND('Mapa final'!$AA$60="Baja",'Mapa final'!$AC$60="Leve"),CONCATENATE("R9C",'Mapa final'!$Q$60),"")</f>
        <v/>
      </c>
      <c r="N44" s="64" t="str">
        <f>IF(AND('Mapa final'!$AA$61="Baja",'Mapa final'!$AC$61="Leve"),CONCATENATE("R9C",'Mapa final'!$Q$61),"")</f>
        <v/>
      </c>
      <c r="O44" s="65" t="str">
        <f>IF(AND('Mapa final'!$AA$62="Baja",'Mapa final'!$AC$62="Leve"),CONCATENATE("R9C",'Mapa final'!$Q$62),"")</f>
        <v/>
      </c>
      <c r="P44" s="54" t="str">
        <f>IF(AND('Mapa final'!$AA$57="Baja",'Mapa final'!$AC$57="Menor"),CONCATENATE("R9C",'Mapa final'!$Q$57),"")</f>
        <v/>
      </c>
      <c r="Q44" s="55" t="str">
        <f>IF(AND('Mapa final'!$AA$58="Baja",'Mapa final'!$AC$58="Menor"),CONCATENATE("R9C",'Mapa final'!$Q$58),"")</f>
        <v/>
      </c>
      <c r="R44" s="55" t="str">
        <f>IF(AND('Mapa final'!$AA$59="Baja",'Mapa final'!$AC$59="Menor"),CONCATENATE("R9C",'Mapa final'!$Q$59),"")</f>
        <v/>
      </c>
      <c r="S44" s="55" t="str">
        <f>IF(AND('Mapa final'!$AA$60="Baja",'Mapa final'!$AC$60="Menor"),CONCATENATE("R9C",'Mapa final'!$Q$60),"")</f>
        <v/>
      </c>
      <c r="T44" s="55" t="str">
        <f>IF(AND('Mapa final'!$AA$61="Baja",'Mapa final'!$AC$61="Menor"),CONCATENATE("R9C",'Mapa final'!$Q$61),"")</f>
        <v/>
      </c>
      <c r="U44" s="56" t="str">
        <f>IF(AND('Mapa final'!$AA$62="Baja",'Mapa final'!$AC$62="Menor"),CONCATENATE("R9C",'Mapa final'!$Q$62),"")</f>
        <v/>
      </c>
      <c r="V44" s="54" t="str">
        <f>IF(AND('Mapa final'!$AA$57="Baja",'Mapa final'!$AC$57="Moderado"),CONCATENATE("R9C",'Mapa final'!$Q$57),"")</f>
        <v/>
      </c>
      <c r="W44" s="55" t="str">
        <f>IF(AND('Mapa final'!$AA$58="Baja",'Mapa final'!$AC$58="Moderado"),CONCATENATE("R9C",'Mapa final'!$Q$58),"")</f>
        <v/>
      </c>
      <c r="X44" s="55" t="str">
        <f>IF(AND('Mapa final'!$AA$59="Baja",'Mapa final'!$AC$59="Moderado"),CONCATENATE("R9C",'Mapa final'!$Q$59),"")</f>
        <v/>
      </c>
      <c r="Y44" s="55" t="str">
        <f>IF(AND('Mapa final'!$AA$60="Baja",'Mapa final'!$AC$60="Moderado"),CONCATENATE("R9C",'Mapa final'!$Q$60),"")</f>
        <v/>
      </c>
      <c r="Z44" s="55" t="str">
        <f>IF(AND('Mapa final'!$AA$61="Baja",'Mapa final'!$AC$61="Moderado"),CONCATENATE("R9C",'Mapa final'!$Q$61),"")</f>
        <v/>
      </c>
      <c r="AA44" s="56" t="str">
        <f>IF(AND('Mapa final'!$AA$62="Baja",'Mapa final'!$AC$62="Moderado"),CONCATENATE("R9C",'Mapa final'!$Q$62),"")</f>
        <v/>
      </c>
      <c r="AB44" s="38" t="str">
        <f>IF(AND('Mapa final'!$AA$57="Baja",'Mapa final'!$AC$57="Mayor"),CONCATENATE("R9C",'Mapa final'!$Q$57),"")</f>
        <v/>
      </c>
      <c r="AC44" s="39" t="str">
        <f>IF(AND('Mapa final'!$AA$58="Baja",'Mapa final'!$AC$58="Mayor"),CONCATENATE("R9C",'Mapa final'!$Q$58),"")</f>
        <v/>
      </c>
      <c r="AD44" s="44" t="str">
        <f>IF(AND('Mapa final'!$AA$59="Baja",'Mapa final'!$AC$59="Mayor"),CONCATENATE("R9C",'Mapa final'!$Q$59),"")</f>
        <v/>
      </c>
      <c r="AE44" s="44" t="str">
        <f>IF(AND('Mapa final'!$AA$60="Baja",'Mapa final'!$AC$60="Mayor"),CONCATENATE("R9C",'Mapa final'!$Q$60),"")</f>
        <v/>
      </c>
      <c r="AF44" s="44" t="str">
        <f>IF(AND('Mapa final'!$AA$61="Baja",'Mapa final'!$AC$61="Mayor"),CONCATENATE("R9C",'Mapa final'!$Q$61),"")</f>
        <v/>
      </c>
      <c r="AG44" s="40" t="str">
        <f>IF(AND('Mapa final'!$AA$62="Baja",'Mapa final'!$AC$62="Mayor"),CONCATENATE("R9C",'Mapa final'!$Q$62),"")</f>
        <v/>
      </c>
      <c r="AH44" s="41" t="str">
        <f>IF(AND('Mapa final'!$AA$57="Baja",'Mapa final'!$AC$57="Catastrófico"),CONCATENATE("R9C",'Mapa final'!$Q$57),"")</f>
        <v/>
      </c>
      <c r="AI44" s="42" t="str">
        <f>IF(AND('Mapa final'!$AA$58="Baja",'Mapa final'!$AC$58="Catastrófico"),CONCATENATE("R9C",'Mapa final'!$Q$58),"")</f>
        <v/>
      </c>
      <c r="AJ44" s="42" t="str">
        <f>IF(AND('Mapa final'!$AA$59="Baja",'Mapa final'!$AC$59="Catastrófico"),CONCATENATE("R9C",'Mapa final'!$Q$59),"")</f>
        <v/>
      </c>
      <c r="AK44" s="42" t="str">
        <f>IF(AND('Mapa final'!$AA$60="Baja",'Mapa final'!$AC$60="Catastrófico"),CONCATENATE("R9C",'Mapa final'!$Q$60),"")</f>
        <v/>
      </c>
      <c r="AL44" s="42" t="str">
        <f>IF(AND('Mapa final'!$AA$61="Baja",'Mapa final'!$AC$61="Catastrófico"),CONCATENATE("R9C",'Mapa final'!$Q$61),"")</f>
        <v/>
      </c>
      <c r="AM44" s="43" t="str">
        <f>IF(AND('Mapa final'!$AA$62="Baja",'Mapa final'!$AC$62="Catastrófico"),CONCATENATE("R9C",'Mapa final'!$Q$62),"")</f>
        <v/>
      </c>
      <c r="AN44" s="70"/>
      <c r="AO44" s="361"/>
      <c r="AP44" s="362"/>
      <c r="AQ44" s="362"/>
      <c r="AR44" s="362"/>
      <c r="AS44" s="362"/>
      <c r="AT44" s="363"/>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39"/>
      <c r="C45" s="239"/>
      <c r="D45" s="240"/>
      <c r="E45" s="342"/>
      <c r="F45" s="343"/>
      <c r="G45" s="343"/>
      <c r="H45" s="343"/>
      <c r="I45" s="343"/>
      <c r="J45" s="66" t="str">
        <f>IF(AND('Mapa final'!$AA$63="Baja",'Mapa final'!$AC$63="Leve"),CONCATENATE("R10C",'Mapa final'!$Q$63),"")</f>
        <v/>
      </c>
      <c r="K45" s="67" t="str">
        <f>IF(AND('Mapa final'!$AA$64="Baja",'Mapa final'!$AC$64="Leve"),CONCATENATE("R10C",'Mapa final'!$Q$64),"")</f>
        <v/>
      </c>
      <c r="L45" s="67" t="str">
        <f>IF(AND('Mapa final'!$AA$65="Baja",'Mapa final'!$AC$65="Leve"),CONCATENATE("R10C",'Mapa final'!$Q$65),"")</f>
        <v/>
      </c>
      <c r="M45" s="67" t="str">
        <f>IF(AND('Mapa final'!$AA$66="Baja",'Mapa final'!$AC$66="Leve"),CONCATENATE("R10C",'Mapa final'!$Q$66),"")</f>
        <v/>
      </c>
      <c r="N45" s="67" t="str">
        <f>IF(AND('Mapa final'!$AA$67="Baja",'Mapa final'!$AC$67="Leve"),CONCATENATE("R10C",'Mapa final'!$Q$67),"")</f>
        <v/>
      </c>
      <c r="O45" s="68" t="str">
        <f>IF(AND('Mapa final'!$AA$68="Baja",'Mapa final'!$AC$68="Leve"),CONCATENATE("R10C",'Mapa final'!$Q$68),"")</f>
        <v/>
      </c>
      <c r="P45" s="54" t="str">
        <f>IF(AND('Mapa final'!$AA$63="Baja",'Mapa final'!$AC$63="Menor"),CONCATENATE("R10C",'Mapa final'!$Q$63),"")</f>
        <v/>
      </c>
      <c r="Q45" s="55" t="str">
        <f>IF(AND('Mapa final'!$AA$64="Baja",'Mapa final'!$AC$64="Menor"),CONCATENATE("R10C",'Mapa final'!$Q$64),"")</f>
        <v/>
      </c>
      <c r="R45" s="55" t="str">
        <f>IF(AND('Mapa final'!$AA$65="Baja",'Mapa final'!$AC$65="Menor"),CONCATENATE("R10C",'Mapa final'!$Q$65),"")</f>
        <v/>
      </c>
      <c r="S45" s="55" t="str">
        <f>IF(AND('Mapa final'!$AA$66="Baja",'Mapa final'!$AC$66="Menor"),CONCATENATE("R10C",'Mapa final'!$Q$66),"")</f>
        <v/>
      </c>
      <c r="T45" s="55" t="str">
        <f>IF(AND('Mapa final'!$AA$67="Baja",'Mapa final'!$AC$67="Menor"),CONCATENATE("R10C",'Mapa final'!$Q$67),"")</f>
        <v/>
      </c>
      <c r="U45" s="56" t="str">
        <f>IF(AND('Mapa final'!$AA$68="Baja",'Mapa final'!$AC$68="Menor"),CONCATENATE("R10C",'Mapa final'!$Q$68),"")</f>
        <v/>
      </c>
      <c r="V45" s="57" t="str">
        <f>IF(AND('Mapa final'!$AA$63="Baja",'Mapa final'!$AC$63="Moderado"),CONCATENATE("R10C",'Mapa final'!$Q$63),"")</f>
        <v/>
      </c>
      <c r="W45" s="58" t="str">
        <f>IF(AND('Mapa final'!$AA$64="Baja",'Mapa final'!$AC$64="Moderado"),CONCATENATE("R10C",'Mapa final'!$Q$64),"")</f>
        <v/>
      </c>
      <c r="X45" s="58" t="str">
        <f>IF(AND('Mapa final'!$AA$65="Baja",'Mapa final'!$AC$65="Moderado"),CONCATENATE("R10C",'Mapa final'!$Q$65),"")</f>
        <v/>
      </c>
      <c r="Y45" s="58" t="str">
        <f>IF(AND('Mapa final'!$AA$66="Baja",'Mapa final'!$AC$66="Moderado"),CONCATENATE("R10C",'Mapa final'!$Q$66),"")</f>
        <v/>
      </c>
      <c r="Z45" s="58" t="str">
        <f>IF(AND('Mapa final'!$AA$67="Baja",'Mapa final'!$AC$67="Moderado"),CONCATENATE("R10C",'Mapa final'!$Q$67),"")</f>
        <v/>
      </c>
      <c r="AA45" s="59" t="str">
        <f>IF(AND('Mapa final'!$AA$68="Baja",'Mapa final'!$AC$68="Moderado"),CONCATENATE("R10C",'Mapa final'!$Q$68),"")</f>
        <v/>
      </c>
      <c r="AB45" s="45" t="str">
        <f>IF(AND('Mapa final'!$AA$63="Baja",'Mapa final'!$AC$63="Mayor"),CONCATENATE("R10C",'Mapa final'!$Q$63),"")</f>
        <v/>
      </c>
      <c r="AC45" s="46" t="str">
        <f>IF(AND('Mapa final'!$AA$64="Baja",'Mapa final'!$AC$64="Mayor"),CONCATENATE("R10C",'Mapa final'!$Q$64),"")</f>
        <v/>
      </c>
      <c r="AD45" s="46" t="str">
        <f>IF(AND('Mapa final'!$AA$65="Baja",'Mapa final'!$AC$65="Mayor"),CONCATENATE("R10C",'Mapa final'!$Q$65),"")</f>
        <v/>
      </c>
      <c r="AE45" s="46" t="str">
        <f>IF(AND('Mapa final'!$AA$66="Baja",'Mapa final'!$AC$66="Mayor"),CONCATENATE("R10C",'Mapa final'!$Q$66),"")</f>
        <v/>
      </c>
      <c r="AF45" s="46" t="str">
        <f>IF(AND('Mapa final'!$AA$67="Baja",'Mapa final'!$AC$67="Mayor"),CONCATENATE("R10C",'Mapa final'!$Q$67),"")</f>
        <v/>
      </c>
      <c r="AG45" s="47" t="str">
        <f>IF(AND('Mapa final'!$AA$68="Baja",'Mapa final'!$AC$68="Mayor"),CONCATENATE("R10C",'Mapa final'!$Q$68),"")</f>
        <v/>
      </c>
      <c r="AH45" s="48" t="str">
        <f>IF(AND('Mapa final'!$AA$63="Baja",'Mapa final'!$AC$63="Catastrófico"),CONCATENATE("R10C",'Mapa final'!$Q$63),"")</f>
        <v/>
      </c>
      <c r="AI45" s="49" t="str">
        <f>IF(AND('Mapa final'!$AA$64="Baja",'Mapa final'!$AC$64="Catastrófico"),CONCATENATE("R10C",'Mapa final'!$Q$64),"")</f>
        <v/>
      </c>
      <c r="AJ45" s="49" t="str">
        <f>IF(AND('Mapa final'!$AA$65="Baja",'Mapa final'!$AC$65="Catastrófico"),CONCATENATE("R10C",'Mapa final'!$Q$65),"")</f>
        <v/>
      </c>
      <c r="AK45" s="49" t="str">
        <f>IF(AND('Mapa final'!$AA$66="Baja",'Mapa final'!$AC$66="Catastrófico"),CONCATENATE("R10C",'Mapa final'!$Q$66),"")</f>
        <v/>
      </c>
      <c r="AL45" s="49" t="str">
        <f>IF(AND('Mapa final'!$AA$67="Baja",'Mapa final'!$AC$67="Catastrófico"),CONCATENATE("R10C",'Mapa final'!$Q$67),"")</f>
        <v/>
      </c>
      <c r="AM45" s="50" t="str">
        <f>IF(AND('Mapa final'!$AA$68="Baja",'Mapa final'!$AC$68="Catastrófico"),CONCATENATE("R10C",'Mapa final'!$Q$68),"")</f>
        <v/>
      </c>
      <c r="AN45" s="70"/>
      <c r="AO45" s="364"/>
      <c r="AP45" s="365"/>
      <c r="AQ45" s="365"/>
      <c r="AR45" s="365"/>
      <c r="AS45" s="365"/>
      <c r="AT45" s="366"/>
    </row>
    <row r="46" spans="1:80" ht="46.5" customHeight="1" x14ac:dyDescent="0.35">
      <c r="A46" s="70"/>
      <c r="B46" s="239"/>
      <c r="C46" s="239"/>
      <c r="D46" s="240"/>
      <c r="E46" s="336" t="s">
        <v>109</v>
      </c>
      <c r="F46" s="337"/>
      <c r="G46" s="337"/>
      <c r="H46" s="337"/>
      <c r="I46" s="355"/>
      <c r="J46" s="60" t="str">
        <f>IF(AND('Mapa final'!$AA$9="Muy Baja",'Mapa final'!$AC$9="Leve"),CONCATENATE("R1C",'Mapa final'!$Q$9),"")</f>
        <v/>
      </c>
      <c r="K46" s="61" t="str">
        <f>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IF(AND('Mapa final'!$AA$9="Muy Baja",'Mapa final'!$AC$9="Menor"),CONCATENATE("R1C",'Mapa final'!$Q$9),"")</f>
        <v/>
      </c>
      <c r="Q46" s="61" t="str">
        <f>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IF(AND('Mapa final'!$AA$9="Muy Baja",'Mapa final'!$AC$9="Moderado"),CONCATENATE("R1C",'Mapa final'!$Q$9),"")</f>
        <v/>
      </c>
      <c r="W46" s="69" t="str">
        <f>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IF(AND('Mapa final'!$AA$9="Muy Baja",'Mapa final'!$AC$9="Mayor"),CONCATENATE("R1C",'Mapa final'!$Q$9),"")</f>
        <v/>
      </c>
      <c r="AC46" s="33" t="str">
        <f>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IF(AND('Mapa final'!$AA$9="Muy Baja",'Mapa final'!$AC$9="Catastrófico"),CONCATENATE("R1C",'Mapa final'!$Q$9),"")</f>
        <v/>
      </c>
      <c r="AI46" s="36" t="str">
        <f>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39"/>
      <c r="C47" s="239"/>
      <c r="D47" s="240"/>
      <c r="E47" s="338"/>
      <c r="F47" s="339"/>
      <c r="G47" s="339"/>
      <c r="H47" s="339"/>
      <c r="I47" s="356"/>
      <c r="J47" s="63" t="str">
        <f>IF(AND('Mapa final'!$AA$15="Muy Baja",'Mapa final'!$AC$15="Leve"),CONCATENATE("R2C",'Mapa final'!$Q$15),"")</f>
        <v/>
      </c>
      <c r="K47" s="64" t="str">
        <f>IF(AND('Mapa final'!$AA$16="Muy Baja",'Mapa final'!$AC$16="Leve"),CONCATENATE("R2C",'Mapa final'!$Q$16),"")</f>
        <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IF(AND('Mapa final'!$AA$15="Muy Baja",'Mapa final'!$AC$15="Menor"),CONCATENATE("R2C",'Mapa final'!$Q$15),"")</f>
        <v/>
      </c>
      <c r="Q47" s="64" t="str">
        <f>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IF(AND('Mapa final'!$AA$15="Muy Baja",'Mapa final'!$AC$15="Moderado"),CONCATENATE("R2C",'Mapa final'!$Q$15),"")</f>
        <v/>
      </c>
      <c r="W47" s="55" t="str">
        <f>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IF(AND('Mapa final'!$AA$15="Muy Baja",'Mapa final'!$AC$15="Mayor"),CONCATENATE("R2C",'Mapa final'!$Q$15),"")</f>
        <v/>
      </c>
      <c r="AC47" s="39" t="str">
        <f>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IF(AND('Mapa final'!$AA$15="Muy Baja",'Mapa final'!$AC$15="Catastrófico"),CONCATENATE("R2C",'Mapa final'!$Q$15),"")</f>
        <v/>
      </c>
      <c r="AI47" s="42" t="str">
        <f>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39"/>
      <c r="C48" s="239"/>
      <c r="D48" s="240"/>
      <c r="E48" s="338"/>
      <c r="F48" s="339"/>
      <c r="G48" s="339"/>
      <c r="H48" s="339"/>
      <c r="I48" s="356"/>
      <c r="J48" s="63" t="str">
        <f>IF(AND('Mapa final'!$AA$21="Muy Baja",'Mapa final'!$AC$21="Leve"),CONCATENATE("R3C",'Mapa final'!$Q$21),"")</f>
        <v/>
      </c>
      <c r="K48" s="64" t="str">
        <f>IF(AND('Mapa final'!$AA$22="Muy Baja",'Mapa final'!$AC$22="Leve"),CONCATENATE("R3C",'Mapa final'!$Q$22),"")</f>
        <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39"/>
      <c r="C49" s="239"/>
      <c r="D49" s="240"/>
      <c r="E49" s="340"/>
      <c r="F49" s="341"/>
      <c r="G49" s="341"/>
      <c r="H49" s="341"/>
      <c r="I49" s="356"/>
      <c r="J49" s="63" t="str">
        <f>IF(AND('Mapa final'!$AA$27="Muy Baja",'Mapa final'!$AC$27="Leve"),CONCATENATE("R4C",'Mapa final'!$Q$27),"")</f>
        <v/>
      </c>
      <c r="K49" s="64" t="str">
        <f>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IF(AND('Mapa final'!$AA$27="Muy Baja",'Mapa final'!$AC$27="Menor"),CONCATENATE("R4C",'Mapa final'!$Q$27),"")</f>
        <v/>
      </c>
      <c r="Q49" s="64" t="str">
        <f>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IF(AND('Mapa final'!$AA$27="Muy Baja",'Mapa final'!$AC$27="Moderado"),CONCATENATE("R4C",'Mapa final'!$Q$27),"")</f>
        <v/>
      </c>
      <c r="W49" s="55" t="str">
        <f>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IF(AND('Mapa final'!$AA$27="Muy Baja",'Mapa final'!$AC$27="Mayor"),CONCATENATE("R4C",'Mapa final'!$Q$27),"")</f>
        <v/>
      </c>
      <c r="AC49" s="39" t="str">
        <f>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IF(AND('Mapa final'!$AA$27="Muy Baja",'Mapa final'!$AC$27="Catastrófico"),CONCATENATE("R4C",'Mapa final'!$Q$27),"")</f>
        <v/>
      </c>
      <c r="AI49" s="42" t="str">
        <f>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39"/>
      <c r="C50" s="239"/>
      <c r="D50" s="240"/>
      <c r="E50" s="340"/>
      <c r="F50" s="341"/>
      <c r="G50" s="341"/>
      <c r="H50" s="341"/>
      <c r="I50" s="356"/>
      <c r="J50" s="63" t="str">
        <f>IF(AND('Mapa final'!$AA$33="Muy Baja",'Mapa final'!$AC$33="Leve"),CONCATENATE("R5C",'Mapa final'!$Q$33),"")</f>
        <v/>
      </c>
      <c r="K50" s="64" t="str">
        <f>IF(AND('Mapa final'!$AA$34="Muy Baja",'Mapa final'!$AC$34="Leve"),CONCATENATE("R5C",'Mapa final'!$Q$34),"")</f>
        <v/>
      </c>
      <c r="L50" s="64" t="str">
        <f>IF(AND('Mapa final'!$AA$35="Muy Baja",'Mapa final'!$AC$35="Leve"),CONCATENATE("R5C",'Mapa final'!$Q$35),"")</f>
        <v/>
      </c>
      <c r="M50" s="64" t="str">
        <f>IF(AND('Mapa final'!$AA$36="Muy Baja",'Mapa final'!$AC$36="Leve"),CONCATENATE("R5C",'Mapa final'!$Q$36),"")</f>
        <v/>
      </c>
      <c r="N50" s="64" t="str">
        <f>IF(AND('Mapa final'!$AA$37="Muy Baja",'Mapa final'!$AC$37="Leve"),CONCATENATE("R5C",'Mapa final'!$Q$37),"")</f>
        <v/>
      </c>
      <c r="O50" s="65" t="str">
        <f>IF(AND('Mapa final'!$AA$38="Muy Baja",'Mapa final'!$AC$38="Leve"),CONCATENATE("R5C",'Mapa final'!$Q$38),"")</f>
        <v/>
      </c>
      <c r="P50" s="63" t="str">
        <f>IF(AND('Mapa final'!$AA$33="Muy Baja",'Mapa final'!$AC$33="Menor"),CONCATENATE("R5C",'Mapa final'!$Q$33),"")</f>
        <v/>
      </c>
      <c r="Q50" s="64" t="str">
        <f>IF(AND('Mapa final'!$AA$34="Muy Baja",'Mapa final'!$AC$34="Menor"),CONCATENATE("R5C",'Mapa final'!$Q$34),"")</f>
        <v/>
      </c>
      <c r="R50" s="64" t="str">
        <f>IF(AND('Mapa final'!$AA$35="Muy Baja",'Mapa final'!$AC$35="Menor"),CONCATENATE("R5C",'Mapa final'!$Q$35),"")</f>
        <v/>
      </c>
      <c r="S50" s="64" t="str">
        <f>IF(AND('Mapa final'!$AA$36="Muy Baja",'Mapa final'!$AC$36="Menor"),CONCATENATE("R5C",'Mapa final'!$Q$36),"")</f>
        <v/>
      </c>
      <c r="T50" s="64" t="str">
        <f>IF(AND('Mapa final'!$AA$37="Muy Baja",'Mapa final'!$AC$37="Menor"),CONCATENATE("R5C",'Mapa final'!$Q$37),"")</f>
        <v/>
      </c>
      <c r="U50" s="65" t="str">
        <f>IF(AND('Mapa final'!$AA$38="Muy Baja",'Mapa final'!$AC$38="Menor"),CONCATENATE("R5C",'Mapa final'!$Q$38),"")</f>
        <v/>
      </c>
      <c r="V50" s="54" t="str">
        <f>IF(AND('Mapa final'!$AA$33="Muy Baja",'Mapa final'!$AC$33="Moderado"),CONCATENATE("R5C",'Mapa final'!$Q$33),"")</f>
        <v/>
      </c>
      <c r="W50" s="55" t="str">
        <f>IF(AND('Mapa final'!$AA$34="Muy Baja",'Mapa final'!$AC$34="Moderado"),CONCATENATE("R5C",'Mapa final'!$Q$34),"")</f>
        <v/>
      </c>
      <c r="X50" s="55" t="str">
        <f>IF(AND('Mapa final'!$AA$35="Muy Baja",'Mapa final'!$AC$35="Moderado"),CONCATENATE("R5C",'Mapa final'!$Q$35),"")</f>
        <v/>
      </c>
      <c r="Y50" s="55" t="str">
        <f>IF(AND('Mapa final'!$AA$36="Muy Baja",'Mapa final'!$AC$36="Moderado"),CONCATENATE("R5C",'Mapa final'!$Q$36),"")</f>
        <v/>
      </c>
      <c r="Z50" s="55" t="str">
        <f>IF(AND('Mapa final'!$AA$37="Muy Baja",'Mapa final'!$AC$37="Moderado"),CONCATENATE("R5C",'Mapa final'!$Q$37),"")</f>
        <v/>
      </c>
      <c r="AA50" s="56" t="str">
        <f>IF(AND('Mapa final'!$AA$38="Muy Baja",'Mapa final'!$AC$38="Moderado"),CONCATENATE("R5C",'Mapa final'!$Q$38),"")</f>
        <v/>
      </c>
      <c r="AB50" s="38" t="str">
        <f>IF(AND('Mapa final'!$AA$33="Muy Baja",'Mapa final'!$AC$33="Mayor"),CONCATENATE("R5C",'Mapa final'!$Q$33),"")</f>
        <v/>
      </c>
      <c r="AC50" s="39" t="str">
        <f>IF(AND('Mapa final'!$AA$34="Muy Baja",'Mapa final'!$AC$34="Mayor"),CONCATENATE("R5C",'Mapa final'!$Q$34),"")</f>
        <v/>
      </c>
      <c r="AD50" s="44" t="str">
        <f>IF(AND('Mapa final'!$AA$35="Muy Baja",'Mapa final'!$AC$35="Mayor"),CONCATENATE("R5C",'Mapa final'!$Q$35),"")</f>
        <v/>
      </c>
      <c r="AE50" s="44" t="str">
        <f>IF(AND('Mapa final'!$AA$36="Muy Baja",'Mapa final'!$AC$36="Mayor"),CONCATENATE("R5C",'Mapa final'!$Q$36),"")</f>
        <v/>
      </c>
      <c r="AF50" s="44" t="str">
        <f>IF(AND('Mapa final'!$AA$37="Muy Baja",'Mapa final'!$AC$37="Mayor"),CONCATENATE("R5C",'Mapa final'!$Q$37),"")</f>
        <v/>
      </c>
      <c r="AG50" s="40" t="str">
        <f>IF(AND('Mapa final'!$AA$38="Muy Baja",'Mapa final'!$AC$38="Mayor"),CONCATENATE("R5C",'Mapa final'!$Q$38),"")</f>
        <v/>
      </c>
      <c r="AH50" s="41" t="str">
        <f>IF(AND('Mapa final'!$AA$33="Muy Baja",'Mapa final'!$AC$33="Catastrófico"),CONCATENATE("R5C",'Mapa final'!$Q$33),"")</f>
        <v/>
      </c>
      <c r="AI50" s="42" t="str">
        <f>IF(AND('Mapa final'!$AA$34="Muy Baja",'Mapa final'!$AC$34="Catastrófico"),CONCATENATE("R5C",'Mapa final'!$Q$34),"")</f>
        <v/>
      </c>
      <c r="AJ50" s="42" t="str">
        <f>IF(AND('Mapa final'!$AA$35="Muy Baja",'Mapa final'!$AC$35="Catastrófico"),CONCATENATE("R5C",'Mapa final'!$Q$35),"")</f>
        <v/>
      </c>
      <c r="AK50" s="42" t="str">
        <f>IF(AND('Mapa final'!$AA$36="Muy Baja",'Mapa final'!$AC$36="Catastrófico"),CONCATENATE("R5C",'Mapa final'!$Q$36),"")</f>
        <v/>
      </c>
      <c r="AL50" s="42" t="str">
        <f>IF(AND('Mapa final'!$AA$37="Muy Baja",'Mapa final'!$AC$37="Catastrófico"),CONCATENATE("R5C",'Mapa final'!$Q$37),"")</f>
        <v/>
      </c>
      <c r="AM50" s="43" t="str">
        <f>IF(AND('Mapa final'!$AA$38="Muy Baja",'Mapa final'!$AC$38="Catastrófico"),CONCATENATE("R5C",'Mapa final'!$Q$38),"")</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39"/>
      <c r="C51" s="239"/>
      <c r="D51" s="240"/>
      <c r="E51" s="340"/>
      <c r="F51" s="341"/>
      <c r="G51" s="341"/>
      <c r="H51" s="341"/>
      <c r="I51" s="356"/>
      <c r="J51" s="63" t="str">
        <f>IF(AND('Mapa final'!$AA$39="Muy Baja",'Mapa final'!$AC$39="Leve"),CONCATENATE("R6C",'Mapa final'!$Q$39),"")</f>
        <v/>
      </c>
      <c r="K51" s="64" t="str">
        <f>IF(AND('Mapa final'!$AA$40="Muy Baja",'Mapa final'!$AC$40="Leve"),CONCATENATE("R6C",'Mapa final'!$Q$40),"")</f>
        <v/>
      </c>
      <c r="L51" s="64" t="str">
        <f>IF(AND('Mapa final'!$AA$41="Muy Baja",'Mapa final'!$AC$41="Leve"),CONCATENATE("R6C",'Mapa final'!$Q$41),"")</f>
        <v/>
      </c>
      <c r="M51" s="64" t="str">
        <f>IF(AND('Mapa final'!$AA$42="Muy Baja",'Mapa final'!$AC$42="Leve"),CONCATENATE("R6C",'Mapa final'!$Q$42),"")</f>
        <v/>
      </c>
      <c r="N51" s="64" t="str">
        <f>IF(AND('Mapa final'!$AA$43="Muy Baja",'Mapa final'!$AC$43="Leve"),CONCATENATE("R6C",'Mapa final'!$Q$43),"")</f>
        <v/>
      </c>
      <c r="O51" s="65" t="str">
        <f>IF(AND('Mapa final'!$AA$44="Muy Baja",'Mapa final'!$AC$44="Leve"),CONCATENATE("R6C",'Mapa final'!$Q$44),"")</f>
        <v/>
      </c>
      <c r="P51" s="63" t="str">
        <f>IF(AND('Mapa final'!$AA$39="Muy Baja",'Mapa final'!$AC$39="Menor"),CONCATENATE("R6C",'Mapa final'!$Q$39),"")</f>
        <v/>
      </c>
      <c r="Q51" s="64" t="str">
        <f>IF(AND('Mapa final'!$AA$40="Muy Baja",'Mapa final'!$AC$40="Menor"),CONCATENATE("R6C",'Mapa final'!$Q$40),"")</f>
        <v/>
      </c>
      <c r="R51" s="64" t="str">
        <f>IF(AND('Mapa final'!$AA$41="Muy Baja",'Mapa final'!$AC$41="Menor"),CONCATENATE("R6C",'Mapa final'!$Q$41),"")</f>
        <v/>
      </c>
      <c r="S51" s="64" t="str">
        <f>IF(AND('Mapa final'!$AA$42="Muy Baja",'Mapa final'!$AC$42="Menor"),CONCATENATE("R6C",'Mapa final'!$Q$42),"")</f>
        <v/>
      </c>
      <c r="T51" s="64" t="str">
        <f>IF(AND('Mapa final'!$AA$43="Muy Baja",'Mapa final'!$AC$43="Menor"),CONCATENATE("R6C",'Mapa final'!$Q$43),"")</f>
        <v/>
      </c>
      <c r="U51" s="65" t="str">
        <f>IF(AND('Mapa final'!$AA$44="Muy Baja",'Mapa final'!$AC$44="Menor"),CONCATENATE("R6C",'Mapa final'!$Q$44),"")</f>
        <v/>
      </c>
      <c r="V51" s="54" t="str">
        <f>IF(AND('Mapa final'!$AA$39="Muy Baja",'Mapa final'!$AC$39="Moderado"),CONCATENATE("R6C",'Mapa final'!$Q$39),"")</f>
        <v/>
      </c>
      <c r="W51" s="55" t="str">
        <f>IF(AND('Mapa final'!$AA$40="Muy Baja",'Mapa final'!$AC$40="Moderado"),CONCATENATE("R6C",'Mapa final'!$Q$40),"")</f>
        <v/>
      </c>
      <c r="X51" s="55" t="str">
        <f>IF(AND('Mapa final'!$AA$41="Muy Baja",'Mapa final'!$AC$41="Moderado"),CONCATENATE("R6C",'Mapa final'!$Q$41),"")</f>
        <v/>
      </c>
      <c r="Y51" s="55" t="str">
        <f>IF(AND('Mapa final'!$AA$42="Muy Baja",'Mapa final'!$AC$42="Moderado"),CONCATENATE("R6C",'Mapa final'!$Q$42),"")</f>
        <v/>
      </c>
      <c r="Z51" s="55" t="str">
        <f>IF(AND('Mapa final'!$AA$43="Muy Baja",'Mapa final'!$AC$43="Moderado"),CONCATENATE("R6C",'Mapa final'!$Q$43),"")</f>
        <v/>
      </c>
      <c r="AA51" s="56" t="str">
        <f>IF(AND('Mapa final'!$AA$44="Muy Baja",'Mapa final'!$AC$44="Moderado"),CONCATENATE("R6C",'Mapa final'!$Q$44),"")</f>
        <v/>
      </c>
      <c r="AB51" s="38" t="str">
        <f>IF(AND('Mapa final'!$AA$39="Muy Baja",'Mapa final'!$AC$39="Mayor"),CONCATENATE("R6C",'Mapa final'!$Q$39),"")</f>
        <v/>
      </c>
      <c r="AC51" s="39" t="str">
        <f>IF(AND('Mapa final'!$AA$40="Muy Baja",'Mapa final'!$AC$40="Mayor"),CONCATENATE("R6C",'Mapa final'!$Q$40),"")</f>
        <v/>
      </c>
      <c r="AD51" s="44" t="str">
        <f>IF(AND('Mapa final'!$AA$41="Muy Baja",'Mapa final'!$AC$41="Mayor"),CONCATENATE("R6C",'Mapa final'!$Q$41),"")</f>
        <v/>
      </c>
      <c r="AE51" s="44" t="str">
        <f>IF(AND('Mapa final'!$AA$42="Muy Baja",'Mapa final'!$AC$42="Mayor"),CONCATENATE("R6C",'Mapa final'!$Q$42),"")</f>
        <v/>
      </c>
      <c r="AF51" s="44" t="str">
        <f>IF(AND('Mapa final'!$AA$43="Muy Baja",'Mapa final'!$AC$43="Mayor"),CONCATENATE("R6C",'Mapa final'!$Q$43),"")</f>
        <v/>
      </c>
      <c r="AG51" s="40" t="str">
        <f>IF(AND('Mapa final'!$AA$44="Muy Baja",'Mapa final'!$AC$44="Mayor"),CONCATENATE("R6C",'Mapa final'!$Q$44),"")</f>
        <v/>
      </c>
      <c r="AH51" s="41" t="str">
        <f>IF(AND('Mapa final'!$AA$39="Muy Baja",'Mapa final'!$AC$39="Catastrófico"),CONCATENATE("R6C",'Mapa final'!$Q$39),"")</f>
        <v/>
      </c>
      <c r="AI51" s="42" t="str">
        <f>IF(AND('Mapa final'!$AA$40="Muy Baja",'Mapa final'!$AC$40="Catastrófico"),CONCATENATE("R6C",'Mapa final'!$Q$40),"")</f>
        <v/>
      </c>
      <c r="AJ51" s="42" t="str">
        <f>IF(AND('Mapa final'!$AA$41="Muy Baja",'Mapa final'!$AC$41="Catastrófico"),CONCATENATE("R6C",'Mapa final'!$Q$41),"")</f>
        <v/>
      </c>
      <c r="AK51" s="42" t="str">
        <f>IF(AND('Mapa final'!$AA$42="Muy Baja",'Mapa final'!$AC$42="Catastrófico"),CONCATENATE("R6C",'Mapa final'!$Q$42),"")</f>
        <v/>
      </c>
      <c r="AL51" s="42" t="str">
        <f>IF(AND('Mapa final'!$AA$43="Muy Baja",'Mapa final'!$AC$43="Catastrófico"),CONCATENATE("R6C",'Mapa final'!$Q$43),"")</f>
        <v/>
      </c>
      <c r="AM51" s="43" t="str">
        <f>IF(AND('Mapa final'!$AA$44="Muy Baja",'Mapa final'!$AC$44="Catastrófico"),CONCATENATE("R6C",'Mapa final'!$Q$44),"")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39"/>
      <c r="C52" s="239"/>
      <c r="D52" s="240"/>
      <c r="E52" s="340"/>
      <c r="F52" s="341"/>
      <c r="G52" s="341"/>
      <c r="H52" s="341"/>
      <c r="I52" s="356"/>
      <c r="J52" s="63" t="str">
        <f>IF(AND('Mapa final'!$AA$45="Muy Baja",'Mapa final'!$AC$45="Leve"),CONCATENATE("R7C",'Mapa final'!$Q$45),"")</f>
        <v/>
      </c>
      <c r="K52" s="64" t="str">
        <f>IF(AND('Mapa final'!$AA$46="Muy Baja",'Mapa final'!$AC$46="Leve"),CONCATENATE("R7C",'Mapa final'!$Q$46),"")</f>
        <v/>
      </c>
      <c r="L52" s="64" t="str">
        <f>IF(AND('Mapa final'!$AA$47="Muy Baja",'Mapa final'!$AC$47="Leve"),CONCATENATE("R7C",'Mapa final'!$Q$47),"")</f>
        <v/>
      </c>
      <c r="M52" s="64" t="str">
        <f>IF(AND('Mapa final'!$AA$48="Muy Baja",'Mapa final'!$AC$48="Leve"),CONCATENATE("R7C",'Mapa final'!$Q$48),"")</f>
        <v/>
      </c>
      <c r="N52" s="64" t="str">
        <f>IF(AND('Mapa final'!$AA$49="Muy Baja",'Mapa final'!$AC$49="Leve"),CONCATENATE("R7C",'Mapa final'!$Q$49),"")</f>
        <v/>
      </c>
      <c r="O52" s="65" t="str">
        <f>IF(AND('Mapa final'!$AA$50="Muy Baja",'Mapa final'!$AC$50="Leve"),CONCATENATE("R7C",'Mapa final'!$Q$50),"")</f>
        <v/>
      </c>
      <c r="P52" s="63" t="str">
        <f>IF(AND('Mapa final'!$AA$45="Muy Baja",'Mapa final'!$AC$45="Menor"),CONCATENATE("R7C",'Mapa final'!$Q$45),"")</f>
        <v/>
      </c>
      <c r="Q52" s="64" t="str">
        <f>IF(AND('Mapa final'!$AA$46="Muy Baja",'Mapa final'!$AC$46="Menor"),CONCATENATE("R7C",'Mapa final'!$Q$46),"")</f>
        <v/>
      </c>
      <c r="R52" s="64" t="str">
        <f>IF(AND('Mapa final'!$AA$47="Muy Baja",'Mapa final'!$AC$47="Menor"),CONCATENATE("R7C",'Mapa final'!$Q$47),"")</f>
        <v/>
      </c>
      <c r="S52" s="64" t="str">
        <f>IF(AND('Mapa final'!$AA$48="Muy Baja",'Mapa final'!$AC$48="Menor"),CONCATENATE("R7C",'Mapa final'!$Q$48),"")</f>
        <v/>
      </c>
      <c r="T52" s="64" t="str">
        <f>IF(AND('Mapa final'!$AA$49="Muy Baja",'Mapa final'!$AC$49="Menor"),CONCATENATE("R7C",'Mapa final'!$Q$49),"")</f>
        <v/>
      </c>
      <c r="U52" s="65" t="str">
        <f>IF(AND('Mapa final'!$AA$50="Muy Baja",'Mapa final'!$AC$50="Menor"),CONCATENATE("R7C",'Mapa final'!$Q$50),"")</f>
        <v/>
      </c>
      <c r="V52" s="54" t="str">
        <f>IF(AND('Mapa final'!$AA$45="Muy Baja",'Mapa final'!$AC$45="Moderado"),CONCATENATE("R7C",'Mapa final'!$Q$45),"")</f>
        <v/>
      </c>
      <c r="W52" s="55" t="str">
        <f>IF(AND('Mapa final'!$AA$46="Muy Baja",'Mapa final'!$AC$46="Moderado"),CONCATENATE("R7C",'Mapa final'!$Q$46),"")</f>
        <v/>
      </c>
      <c r="X52" s="55" t="str">
        <f>IF(AND('Mapa final'!$AA$47="Muy Baja",'Mapa final'!$AC$47="Moderado"),CONCATENATE("R7C",'Mapa final'!$Q$47),"")</f>
        <v/>
      </c>
      <c r="Y52" s="55" t="str">
        <f>IF(AND('Mapa final'!$AA$48="Muy Baja",'Mapa final'!$AC$48="Moderado"),CONCATENATE("R7C",'Mapa final'!$Q$48),"")</f>
        <v/>
      </c>
      <c r="Z52" s="55" t="str">
        <f>IF(AND('Mapa final'!$AA$49="Muy Baja",'Mapa final'!$AC$49="Moderado"),CONCATENATE("R7C",'Mapa final'!$Q$49),"")</f>
        <v/>
      </c>
      <c r="AA52" s="56" t="str">
        <f>IF(AND('Mapa final'!$AA$50="Muy Baja",'Mapa final'!$AC$50="Moderado"),CONCATENATE("R7C",'Mapa final'!$Q$50),"")</f>
        <v/>
      </c>
      <c r="AB52" s="38" t="str">
        <f>IF(AND('Mapa final'!$AA$45="Muy Baja",'Mapa final'!$AC$45="Mayor"),CONCATENATE("R7C",'Mapa final'!$Q$45),"")</f>
        <v/>
      </c>
      <c r="AC52" s="39" t="str">
        <f>IF(AND('Mapa final'!$AA$46="Muy Baja",'Mapa final'!$AC$46="Mayor"),CONCATENATE("R7C",'Mapa final'!$Q$46),"")</f>
        <v/>
      </c>
      <c r="AD52" s="44" t="str">
        <f>IF(AND('Mapa final'!$AA$47="Muy Baja",'Mapa final'!$AC$47="Mayor"),CONCATENATE("R7C",'Mapa final'!$Q$47),"")</f>
        <v/>
      </c>
      <c r="AE52" s="44" t="str">
        <f>IF(AND('Mapa final'!$AA$48="Muy Baja",'Mapa final'!$AC$48="Mayor"),CONCATENATE("R7C",'Mapa final'!$Q$48),"")</f>
        <v/>
      </c>
      <c r="AF52" s="44" t="str">
        <f>IF(AND('Mapa final'!$AA$49="Muy Baja",'Mapa final'!$AC$49="Mayor"),CONCATENATE("R7C",'Mapa final'!$Q$49),"")</f>
        <v/>
      </c>
      <c r="AG52" s="40" t="str">
        <f>IF(AND('Mapa final'!$AA$50="Muy Baja",'Mapa final'!$AC$50="Mayor"),CONCATENATE("R7C",'Mapa final'!$Q$50),"")</f>
        <v/>
      </c>
      <c r="AH52" s="41" t="str">
        <f>IF(AND('Mapa final'!$AA$45="Muy Baja",'Mapa final'!$AC$45="Catastrófico"),CONCATENATE("R7C",'Mapa final'!$Q$45),"")</f>
        <v/>
      </c>
      <c r="AI52" s="42" t="str">
        <f>IF(AND('Mapa final'!$AA$46="Muy Baja",'Mapa final'!$AC$46="Catastrófico"),CONCATENATE("R7C",'Mapa final'!$Q$46),"")</f>
        <v/>
      </c>
      <c r="AJ52" s="42" t="str">
        <f>IF(AND('Mapa final'!$AA$47="Muy Baja",'Mapa final'!$AC$47="Catastrófico"),CONCATENATE("R7C",'Mapa final'!$Q$47),"")</f>
        <v/>
      </c>
      <c r="AK52" s="42" t="str">
        <f>IF(AND('Mapa final'!$AA$48="Muy Baja",'Mapa final'!$AC$48="Catastrófico"),CONCATENATE("R7C",'Mapa final'!$Q$48),"")</f>
        <v/>
      </c>
      <c r="AL52" s="42" t="str">
        <f>IF(AND('Mapa final'!$AA$49="Muy Baja",'Mapa final'!$AC$49="Catastrófico"),CONCATENATE("R7C",'Mapa final'!$Q$49),"")</f>
        <v/>
      </c>
      <c r="AM52" s="43" t="str">
        <f>IF(AND('Mapa final'!$AA$50="Muy Baja",'Mapa final'!$AC$50="Catastrófico"),CONCATENATE("R7C",'Mapa final'!$Q$50),"")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39"/>
      <c r="C53" s="239"/>
      <c r="D53" s="240"/>
      <c r="E53" s="340"/>
      <c r="F53" s="341"/>
      <c r="G53" s="341"/>
      <c r="H53" s="341"/>
      <c r="I53" s="356"/>
      <c r="J53" s="63" t="str">
        <f>IF(AND('Mapa final'!$AA$51="Muy Baja",'Mapa final'!$AC$51="Leve"),CONCATENATE("R8C",'Mapa final'!$Q$51),"")</f>
        <v/>
      </c>
      <c r="K53" s="64" t="str">
        <f>IF(AND('Mapa final'!$AA$52="Muy Baja",'Mapa final'!$AC$52="Leve"),CONCATENATE("R8C",'Mapa final'!$Q$52),"")</f>
        <v/>
      </c>
      <c r="L53" s="64" t="str">
        <f>IF(AND('Mapa final'!$AA$53="Muy Baja",'Mapa final'!$AC$53="Leve"),CONCATENATE("R8C",'Mapa final'!$Q$53),"")</f>
        <v/>
      </c>
      <c r="M53" s="64" t="str">
        <f>IF(AND('Mapa final'!$AA$54="Muy Baja",'Mapa final'!$AC$54="Leve"),CONCATENATE("R8C",'Mapa final'!$Q$54),"")</f>
        <v/>
      </c>
      <c r="N53" s="64" t="str">
        <f>IF(AND('Mapa final'!$AA$55="Muy Baja",'Mapa final'!$AC$55="Leve"),CONCATENATE("R8C",'Mapa final'!$Q$55),"")</f>
        <v/>
      </c>
      <c r="O53" s="65" t="str">
        <f>IF(AND('Mapa final'!$AA$56="Muy Baja",'Mapa final'!$AC$56="Leve"),CONCATENATE("R8C",'Mapa final'!$Q$56),"")</f>
        <v/>
      </c>
      <c r="P53" s="63" t="str">
        <f>IF(AND('Mapa final'!$AA$51="Muy Baja",'Mapa final'!$AC$51="Menor"),CONCATENATE("R8C",'Mapa final'!$Q$51),"")</f>
        <v/>
      </c>
      <c r="Q53" s="64" t="str">
        <f>IF(AND('Mapa final'!$AA$52="Muy Baja",'Mapa final'!$AC$52="Menor"),CONCATENATE("R8C",'Mapa final'!$Q$52),"")</f>
        <v/>
      </c>
      <c r="R53" s="64" t="str">
        <f>IF(AND('Mapa final'!$AA$53="Muy Baja",'Mapa final'!$AC$53="Menor"),CONCATENATE("R8C",'Mapa final'!$Q$53),"")</f>
        <v/>
      </c>
      <c r="S53" s="64" t="str">
        <f>IF(AND('Mapa final'!$AA$54="Muy Baja",'Mapa final'!$AC$54="Menor"),CONCATENATE("R8C",'Mapa final'!$Q$54),"")</f>
        <v/>
      </c>
      <c r="T53" s="64" t="str">
        <f>IF(AND('Mapa final'!$AA$55="Muy Baja",'Mapa final'!$AC$55="Menor"),CONCATENATE("R8C",'Mapa final'!$Q$55),"")</f>
        <v/>
      </c>
      <c r="U53" s="65" t="str">
        <f>IF(AND('Mapa final'!$AA$56="Muy Baja",'Mapa final'!$AC$56="Menor"),CONCATENATE("R8C",'Mapa final'!$Q$56),"")</f>
        <v/>
      </c>
      <c r="V53" s="54" t="str">
        <f>IF(AND('Mapa final'!$AA$51="Muy Baja",'Mapa final'!$AC$51="Moderado"),CONCATENATE("R8C",'Mapa final'!$Q$51),"")</f>
        <v/>
      </c>
      <c r="W53" s="55" t="str">
        <f>IF(AND('Mapa final'!$AA$52="Muy Baja",'Mapa final'!$AC$52="Moderado"),CONCATENATE("R8C",'Mapa final'!$Q$52),"")</f>
        <v/>
      </c>
      <c r="X53" s="55" t="str">
        <f>IF(AND('Mapa final'!$AA$53="Muy Baja",'Mapa final'!$AC$53="Moderado"),CONCATENATE("R8C",'Mapa final'!$Q$53),"")</f>
        <v/>
      </c>
      <c r="Y53" s="55" t="str">
        <f>IF(AND('Mapa final'!$AA$54="Muy Baja",'Mapa final'!$AC$54="Moderado"),CONCATENATE("R8C",'Mapa final'!$Q$54),"")</f>
        <v/>
      </c>
      <c r="Z53" s="55" t="str">
        <f>IF(AND('Mapa final'!$AA$55="Muy Baja",'Mapa final'!$AC$55="Moderado"),CONCATENATE("R8C",'Mapa final'!$Q$55),"")</f>
        <v/>
      </c>
      <c r="AA53" s="56" t="str">
        <f>IF(AND('Mapa final'!$AA$56="Muy Baja",'Mapa final'!$AC$56="Moderado"),CONCATENATE("R8C",'Mapa final'!$Q$56),"")</f>
        <v/>
      </c>
      <c r="AB53" s="38" t="str">
        <f>IF(AND('Mapa final'!$AA$51="Muy Baja",'Mapa final'!$AC$51="Mayor"),CONCATENATE("R8C",'Mapa final'!$Q$51),"")</f>
        <v/>
      </c>
      <c r="AC53" s="39" t="str">
        <f>IF(AND('Mapa final'!$AA$52="Muy Baja",'Mapa final'!$AC$52="Mayor"),CONCATENATE("R8C",'Mapa final'!$Q$52),"")</f>
        <v/>
      </c>
      <c r="AD53" s="44" t="str">
        <f>IF(AND('Mapa final'!$AA$53="Muy Baja",'Mapa final'!$AC$53="Mayor"),CONCATENATE("R8C",'Mapa final'!$Q$53),"")</f>
        <v/>
      </c>
      <c r="AE53" s="44" t="str">
        <f>IF(AND('Mapa final'!$AA$54="Muy Baja",'Mapa final'!$AC$54="Mayor"),CONCATENATE("R8C",'Mapa final'!$Q$54),"")</f>
        <v/>
      </c>
      <c r="AF53" s="44" t="str">
        <f>IF(AND('Mapa final'!$AA$55="Muy Baja",'Mapa final'!$AC$55="Mayor"),CONCATENATE("R8C",'Mapa final'!$Q$55),"")</f>
        <v/>
      </c>
      <c r="AG53" s="40" t="str">
        <f>IF(AND('Mapa final'!$AA$56="Muy Baja",'Mapa final'!$AC$56="Mayor"),CONCATENATE("R8C",'Mapa final'!$Q$56),"")</f>
        <v/>
      </c>
      <c r="AH53" s="41" t="str">
        <f>IF(AND('Mapa final'!$AA$51="Muy Baja",'Mapa final'!$AC$51="Catastrófico"),CONCATENATE("R8C",'Mapa final'!$Q$51),"")</f>
        <v/>
      </c>
      <c r="AI53" s="42" t="str">
        <f>IF(AND('Mapa final'!$AA$52="Muy Baja",'Mapa final'!$AC$52="Catastrófico"),CONCATENATE("R8C",'Mapa final'!$Q$52),"")</f>
        <v/>
      </c>
      <c r="AJ53" s="42" t="str">
        <f>IF(AND('Mapa final'!$AA$53="Muy Baja",'Mapa final'!$AC$53="Catastrófico"),CONCATENATE("R8C",'Mapa final'!$Q$53),"")</f>
        <v/>
      </c>
      <c r="AK53" s="42" t="str">
        <f>IF(AND('Mapa final'!$AA$54="Muy Baja",'Mapa final'!$AC$54="Catastrófico"),CONCATENATE("R8C",'Mapa final'!$Q$54),"")</f>
        <v/>
      </c>
      <c r="AL53" s="42" t="str">
        <f>IF(AND('Mapa final'!$AA$55="Muy Baja",'Mapa final'!$AC$55="Catastrófico"),CONCATENATE("R8C",'Mapa final'!$Q$55),"")</f>
        <v/>
      </c>
      <c r="AM53" s="43" t="str">
        <f>IF(AND('Mapa final'!$AA$56="Muy Baja",'Mapa final'!$AC$56="Catastrófico"),CONCATENATE("R8C",'Mapa final'!$Q$56),"")</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39"/>
      <c r="C54" s="239"/>
      <c r="D54" s="240"/>
      <c r="E54" s="340"/>
      <c r="F54" s="341"/>
      <c r="G54" s="341"/>
      <c r="H54" s="341"/>
      <c r="I54" s="356"/>
      <c r="J54" s="63" t="str">
        <f>IF(AND('Mapa final'!$AA$57="Muy Baja",'Mapa final'!$AC$57="Leve"),CONCATENATE("R9C",'Mapa final'!$Q$57),"")</f>
        <v/>
      </c>
      <c r="K54" s="64" t="str">
        <f>IF(AND('Mapa final'!$AA$58="Muy Baja",'Mapa final'!$AC$58="Leve"),CONCATENATE("R9C",'Mapa final'!$Q$58),"")</f>
        <v/>
      </c>
      <c r="L54" s="64" t="str">
        <f>IF(AND('Mapa final'!$AA$59="Muy Baja",'Mapa final'!$AC$59="Leve"),CONCATENATE("R9C",'Mapa final'!$Q$59),"")</f>
        <v/>
      </c>
      <c r="M54" s="64" t="str">
        <f>IF(AND('Mapa final'!$AA$60="Muy Baja",'Mapa final'!$AC$60="Leve"),CONCATENATE("R9C",'Mapa final'!$Q$60),"")</f>
        <v/>
      </c>
      <c r="N54" s="64" t="str">
        <f>IF(AND('Mapa final'!$AA$61="Muy Baja",'Mapa final'!$AC$61="Leve"),CONCATENATE("R9C",'Mapa final'!$Q$61),"")</f>
        <v/>
      </c>
      <c r="O54" s="65" t="str">
        <f>IF(AND('Mapa final'!$AA$62="Muy Baja",'Mapa final'!$AC$62="Leve"),CONCATENATE("R9C",'Mapa final'!$Q$62),"")</f>
        <v/>
      </c>
      <c r="P54" s="63" t="str">
        <f>IF(AND('Mapa final'!$AA$57="Muy Baja",'Mapa final'!$AC$57="Menor"),CONCATENATE("R9C",'Mapa final'!$Q$57),"")</f>
        <v/>
      </c>
      <c r="Q54" s="64" t="str">
        <f>IF(AND('Mapa final'!$AA$58="Muy Baja",'Mapa final'!$AC$58="Menor"),CONCATENATE("R9C",'Mapa final'!$Q$58),"")</f>
        <v/>
      </c>
      <c r="R54" s="64" t="str">
        <f>IF(AND('Mapa final'!$AA$59="Muy Baja",'Mapa final'!$AC$59="Menor"),CONCATENATE("R9C",'Mapa final'!$Q$59),"")</f>
        <v/>
      </c>
      <c r="S54" s="64" t="str">
        <f>IF(AND('Mapa final'!$AA$60="Muy Baja",'Mapa final'!$AC$60="Menor"),CONCATENATE("R9C",'Mapa final'!$Q$60),"")</f>
        <v/>
      </c>
      <c r="T54" s="64" t="str">
        <f>IF(AND('Mapa final'!$AA$61="Muy Baja",'Mapa final'!$AC$61="Menor"),CONCATENATE("R9C",'Mapa final'!$Q$61),"")</f>
        <v/>
      </c>
      <c r="U54" s="65" t="str">
        <f>IF(AND('Mapa final'!$AA$62="Muy Baja",'Mapa final'!$AC$62="Menor"),CONCATENATE("R9C",'Mapa final'!$Q$62),"")</f>
        <v/>
      </c>
      <c r="V54" s="54" t="str">
        <f>IF(AND('Mapa final'!$AA$57="Muy Baja",'Mapa final'!$AC$57="Moderado"),CONCATENATE("R9C",'Mapa final'!$Q$57),"")</f>
        <v/>
      </c>
      <c r="W54" s="55" t="str">
        <f>IF(AND('Mapa final'!$AA$58="Muy Baja",'Mapa final'!$AC$58="Moderado"),CONCATENATE("R9C",'Mapa final'!$Q$58),"")</f>
        <v/>
      </c>
      <c r="X54" s="55" t="str">
        <f>IF(AND('Mapa final'!$AA$59="Muy Baja",'Mapa final'!$AC$59="Moderado"),CONCATENATE("R9C",'Mapa final'!$Q$59),"")</f>
        <v/>
      </c>
      <c r="Y54" s="55" t="str">
        <f>IF(AND('Mapa final'!$AA$60="Muy Baja",'Mapa final'!$AC$60="Moderado"),CONCATENATE("R9C",'Mapa final'!$Q$60),"")</f>
        <v/>
      </c>
      <c r="Z54" s="55" t="str">
        <f>IF(AND('Mapa final'!$AA$61="Muy Baja",'Mapa final'!$AC$61="Moderado"),CONCATENATE("R9C",'Mapa final'!$Q$61),"")</f>
        <v/>
      </c>
      <c r="AA54" s="56" t="str">
        <f>IF(AND('Mapa final'!$AA$62="Muy Baja",'Mapa final'!$AC$62="Moderado"),CONCATENATE("R9C",'Mapa final'!$Q$62),"")</f>
        <v/>
      </c>
      <c r="AB54" s="38" t="str">
        <f>IF(AND('Mapa final'!$AA$57="Muy Baja",'Mapa final'!$AC$57="Mayor"),CONCATENATE("R9C",'Mapa final'!$Q$57),"")</f>
        <v/>
      </c>
      <c r="AC54" s="39" t="str">
        <f>IF(AND('Mapa final'!$AA$58="Muy Baja",'Mapa final'!$AC$58="Mayor"),CONCATENATE("R9C",'Mapa final'!$Q$58),"")</f>
        <v/>
      </c>
      <c r="AD54" s="44" t="str">
        <f>IF(AND('Mapa final'!$AA$59="Muy Baja",'Mapa final'!$AC$59="Mayor"),CONCATENATE("R9C",'Mapa final'!$Q$59),"")</f>
        <v/>
      </c>
      <c r="AE54" s="44" t="str">
        <f>IF(AND('Mapa final'!$AA$60="Muy Baja",'Mapa final'!$AC$60="Mayor"),CONCATENATE("R9C",'Mapa final'!$Q$60),"")</f>
        <v/>
      </c>
      <c r="AF54" s="44" t="str">
        <f>IF(AND('Mapa final'!$AA$61="Muy Baja",'Mapa final'!$AC$61="Mayor"),CONCATENATE("R9C",'Mapa final'!$Q$61),"")</f>
        <v/>
      </c>
      <c r="AG54" s="40" t="str">
        <f>IF(AND('Mapa final'!$AA$62="Muy Baja",'Mapa final'!$AC$62="Mayor"),CONCATENATE("R9C",'Mapa final'!$Q$62),"")</f>
        <v/>
      </c>
      <c r="AH54" s="41" t="str">
        <f>IF(AND('Mapa final'!$AA$57="Muy Baja",'Mapa final'!$AC$57="Catastrófico"),CONCATENATE("R9C",'Mapa final'!$Q$57),"")</f>
        <v/>
      </c>
      <c r="AI54" s="42" t="str">
        <f>IF(AND('Mapa final'!$AA$58="Muy Baja",'Mapa final'!$AC$58="Catastrófico"),CONCATENATE("R9C",'Mapa final'!$Q$58),"")</f>
        <v/>
      </c>
      <c r="AJ54" s="42" t="str">
        <f>IF(AND('Mapa final'!$AA$59="Muy Baja",'Mapa final'!$AC$59="Catastrófico"),CONCATENATE("R9C",'Mapa final'!$Q$59),"")</f>
        <v/>
      </c>
      <c r="AK54" s="42" t="str">
        <f>IF(AND('Mapa final'!$AA$60="Muy Baja",'Mapa final'!$AC$60="Catastrófico"),CONCATENATE("R9C",'Mapa final'!$Q$60),"")</f>
        <v/>
      </c>
      <c r="AL54" s="42" t="str">
        <f>IF(AND('Mapa final'!$AA$61="Muy Baja",'Mapa final'!$AC$61="Catastrófico"),CONCATENATE("R9C",'Mapa final'!$Q$61),"")</f>
        <v/>
      </c>
      <c r="AM54" s="43" t="str">
        <f>IF(AND('Mapa final'!$AA$62="Muy Baja",'Mapa final'!$AC$62="Catastrófico"),CONCATENATE("R9C",'Mapa final'!$Q$62),"")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39"/>
      <c r="C55" s="239"/>
      <c r="D55" s="240"/>
      <c r="E55" s="342"/>
      <c r="F55" s="343"/>
      <c r="G55" s="343"/>
      <c r="H55" s="343"/>
      <c r="I55" s="357"/>
      <c r="J55" s="66" t="str">
        <f>IF(AND('Mapa final'!$AA$63="Muy Baja",'Mapa final'!$AC$63="Leve"),CONCATENATE("R10C",'Mapa final'!$Q$63),"")</f>
        <v/>
      </c>
      <c r="K55" s="67" t="str">
        <f>IF(AND('Mapa final'!$AA$64="Muy Baja",'Mapa final'!$AC$64="Leve"),CONCATENATE("R10C",'Mapa final'!$Q$64),"")</f>
        <v/>
      </c>
      <c r="L55" s="67" t="str">
        <f>IF(AND('Mapa final'!$AA$65="Muy Baja",'Mapa final'!$AC$65="Leve"),CONCATENATE("R10C",'Mapa final'!$Q$65),"")</f>
        <v/>
      </c>
      <c r="M55" s="67" t="str">
        <f>IF(AND('Mapa final'!$AA$66="Muy Baja",'Mapa final'!$AC$66="Leve"),CONCATENATE("R10C",'Mapa final'!$Q$66),"")</f>
        <v/>
      </c>
      <c r="N55" s="67" t="str">
        <f>IF(AND('Mapa final'!$AA$67="Muy Baja",'Mapa final'!$AC$67="Leve"),CONCATENATE("R10C",'Mapa final'!$Q$67),"")</f>
        <v/>
      </c>
      <c r="O55" s="68" t="str">
        <f>IF(AND('Mapa final'!$AA$68="Muy Baja",'Mapa final'!$AC$68="Leve"),CONCATENATE("R10C",'Mapa final'!$Q$68),"")</f>
        <v/>
      </c>
      <c r="P55" s="66" t="str">
        <f>IF(AND('Mapa final'!$AA$63="Muy Baja",'Mapa final'!$AC$63="Menor"),CONCATENATE("R10C",'Mapa final'!$Q$63),"")</f>
        <v/>
      </c>
      <c r="Q55" s="67" t="str">
        <f>IF(AND('Mapa final'!$AA$64="Muy Baja",'Mapa final'!$AC$64="Menor"),CONCATENATE("R10C",'Mapa final'!$Q$64),"")</f>
        <v/>
      </c>
      <c r="R55" s="67" t="str">
        <f>IF(AND('Mapa final'!$AA$65="Muy Baja",'Mapa final'!$AC$65="Menor"),CONCATENATE("R10C",'Mapa final'!$Q$65),"")</f>
        <v/>
      </c>
      <c r="S55" s="67" t="str">
        <f>IF(AND('Mapa final'!$AA$66="Muy Baja",'Mapa final'!$AC$66="Menor"),CONCATENATE("R10C",'Mapa final'!$Q$66),"")</f>
        <v/>
      </c>
      <c r="T55" s="67" t="str">
        <f>IF(AND('Mapa final'!$AA$67="Muy Baja",'Mapa final'!$AC$67="Menor"),CONCATENATE("R10C",'Mapa final'!$Q$67),"")</f>
        <v/>
      </c>
      <c r="U55" s="68" t="str">
        <f>IF(AND('Mapa final'!$AA$68="Muy Baja",'Mapa final'!$AC$68="Menor"),CONCATENATE("R10C",'Mapa final'!$Q$68),"")</f>
        <v/>
      </c>
      <c r="V55" s="57" t="str">
        <f>IF(AND('Mapa final'!$AA$63="Muy Baja",'Mapa final'!$AC$63="Moderado"),CONCATENATE("R10C",'Mapa final'!$Q$63),"")</f>
        <v/>
      </c>
      <c r="W55" s="58" t="str">
        <f>IF(AND('Mapa final'!$AA$64="Muy Baja",'Mapa final'!$AC$64="Moderado"),CONCATENATE("R10C",'Mapa final'!$Q$64),"")</f>
        <v/>
      </c>
      <c r="X55" s="58" t="str">
        <f>IF(AND('Mapa final'!$AA$65="Muy Baja",'Mapa final'!$AC$65="Moderado"),CONCATENATE("R10C",'Mapa final'!$Q$65),"")</f>
        <v/>
      </c>
      <c r="Y55" s="58" t="str">
        <f>IF(AND('Mapa final'!$AA$66="Muy Baja",'Mapa final'!$AC$66="Moderado"),CONCATENATE("R10C",'Mapa final'!$Q$66),"")</f>
        <v/>
      </c>
      <c r="Z55" s="58" t="str">
        <f>IF(AND('Mapa final'!$AA$67="Muy Baja",'Mapa final'!$AC$67="Moderado"),CONCATENATE("R10C",'Mapa final'!$Q$67),"")</f>
        <v/>
      </c>
      <c r="AA55" s="59" t="str">
        <f>IF(AND('Mapa final'!$AA$68="Muy Baja",'Mapa final'!$AC$68="Moderado"),CONCATENATE("R10C",'Mapa final'!$Q$68),"")</f>
        <v/>
      </c>
      <c r="AB55" s="45" t="str">
        <f>IF(AND('Mapa final'!$AA$63="Muy Baja",'Mapa final'!$AC$63="Mayor"),CONCATENATE("R10C",'Mapa final'!$Q$63),"")</f>
        <v/>
      </c>
      <c r="AC55" s="46" t="str">
        <f>IF(AND('Mapa final'!$AA$64="Muy Baja",'Mapa final'!$AC$64="Mayor"),CONCATENATE("R10C",'Mapa final'!$Q$64),"")</f>
        <v/>
      </c>
      <c r="AD55" s="46" t="str">
        <f>IF(AND('Mapa final'!$AA$65="Muy Baja",'Mapa final'!$AC$65="Mayor"),CONCATENATE("R10C",'Mapa final'!$Q$65),"")</f>
        <v/>
      </c>
      <c r="AE55" s="46" t="str">
        <f>IF(AND('Mapa final'!$AA$66="Muy Baja",'Mapa final'!$AC$66="Mayor"),CONCATENATE("R10C",'Mapa final'!$Q$66),"")</f>
        <v/>
      </c>
      <c r="AF55" s="46" t="str">
        <f>IF(AND('Mapa final'!$AA$67="Muy Baja",'Mapa final'!$AC$67="Mayor"),CONCATENATE("R10C",'Mapa final'!$Q$67),"")</f>
        <v/>
      </c>
      <c r="AG55" s="47" t="str">
        <f>IF(AND('Mapa final'!$AA$68="Muy Baja",'Mapa final'!$AC$68="Mayor"),CONCATENATE("R10C",'Mapa final'!$Q$68),"")</f>
        <v/>
      </c>
      <c r="AH55" s="48" t="str">
        <f>IF(AND('Mapa final'!$AA$63="Muy Baja",'Mapa final'!$AC$63="Catastrófico"),CONCATENATE("R10C",'Mapa final'!$Q$63),"")</f>
        <v/>
      </c>
      <c r="AI55" s="49" t="str">
        <f>IF(AND('Mapa final'!$AA$64="Muy Baja",'Mapa final'!$AC$64="Catastrófico"),CONCATENATE("R10C",'Mapa final'!$Q$64),"")</f>
        <v/>
      </c>
      <c r="AJ55" s="49" t="str">
        <f>IF(AND('Mapa final'!$AA$65="Muy Baja",'Mapa final'!$AC$65="Catastrófico"),CONCATENATE("R10C",'Mapa final'!$Q$65),"")</f>
        <v/>
      </c>
      <c r="AK55" s="49" t="str">
        <f>IF(AND('Mapa final'!$AA$66="Muy Baja",'Mapa final'!$AC$66="Catastrófico"),CONCATENATE("R10C",'Mapa final'!$Q$66),"")</f>
        <v/>
      </c>
      <c r="AL55" s="49" t="str">
        <f>IF(AND('Mapa final'!$AA$67="Muy Baja",'Mapa final'!$AC$67="Catastrófico"),CONCATENATE("R10C",'Mapa final'!$Q$67),"")</f>
        <v/>
      </c>
      <c r="AM55" s="50" t="str">
        <f>IF(AND('Mapa final'!$AA$68="Muy Baja",'Mapa final'!$AC$68="Catastrófico"),CONCATENATE("R10C",'Mapa final'!$Q$68),"")</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36" t="s">
        <v>108</v>
      </c>
      <c r="K56" s="337"/>
      <c r="L56" s="337"/>
      <c r="M56" s="337"/>
      <c r="N56" s="337"/>
      <c r="O56" s="355"/>
      <c r="P56" s="336" t="s">
        <v>107</v>
      </c>
      <c r="Q56" s="337"/>
      <c r="R56" s="337"/>
      <c r="S56" s="337"/>
      <c r="T56" s="337"/>
      <c r="U56" s="355"/>
      <c r="V56" s="336" t="s">
        <v>106</v>
      </c>
      <c r="W56" s="337"/>
      <c r="X56" s="337"/>
      <c r="Y56" s="337"/>
      <c r="Z56" s="337"/>
      <c r="AA56" s="355"/>
      <c r="AB56" s="336" t="s">
        <v>105</v>
      </c>
      <c r="AC56" s="376"/>
      <c r="AD56" s="337"/>
      <c r="AE56" s="337"/>
      <c r="AF56" s="337"/>
      <c r="AG56" s="355"/>
      <c r="AH56" s="336" t="s">
        <v>104</v>
      </c>
      <c r="AI56" s="337"/>
      <c r="AJ56" s="337"/>
      <c r="AK56" s="337"/>
      <c r="AL56" s="337"/>
      <c r="AM56" s="355"/>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40"/>
      <c r="K57" s="341"/>
      <c r="L57" s="341"/>
      <c r="M57" s="341"/>
      <c r="N57" s="341"/>
      <c r="O57" s="356"/>
      <c r="P57" s="340"/>
      <c r="Q57" s="341"/>
      <c r="R57" s="341"/>
      <c r="S57" s="341"/>
      <c r="T57" s="341"/>
      <c r="U57" s="356"/>
      <c r="V57" s="340"/>
      <c r="W57" s="341"/>
      <c r="X57" s="341"/>
      <c r="Y57" s="341"/>
      <c r="Z57" s="341"/>
      <c r="AA57" s="356"/>
      <c r="AB57" s="340"/>
      <c r="AC57" s="341"/>
      <c r="AD57" s="341"/>
      <c r="AE57" s="341"/>
      <c r="AF57" s="341"/>
      <c r="AG57" s="356"/>
      <c r="AH57" s="340"/>
      <c r="AI57" s="341"/>
      <c r="AJ57" s="341"/>
      <c r="AK57" s="341"/>
      <c r="AL57" s="341"/>
      <c r="AM57" s="356"/>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40"/>
      <c r="K58" s="341"/>
      <c r="L58" s="341"/>
      <c r="M58" s="341"/>
      <c r="N58" s="341"/>
      <c r="O58" s="356"/>
      <c r="P58" s="340"/>
      <c r="Q58" s="341"/>
      <c r="R58" s="341"/>
      <c r="S58" s="341"/>
      <c r="T58" s="341"/>
      <c r="U58" s="356"/>
      <c r="V58" s="340"/>
      <c r="W58" s="341"/>
      <c r="X58" s="341"/>
      <c r="Y58" s="341"/>
      <c r="Z58" s="341"/>
      <c r="AA58" s="356"/>
      <c r="AB58" s="340"/>
      <c r="AC58" s="341"/>
      <c r="AD58" s="341"/>
      <c r="AE58" s="341"/>
      <c r="AF58" s="341"/>
      <c r="AG58" s="356"/>
      <c r="AH58" s="340"/>
      <c r="AI58" s="341"/>
      <c r="AJ58" s="341"/>
      <c r="AK58" s="341"/>
      <c r="AL58" s="341"/>
      <c r="AM58" s="356"/>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40"/>
      <c r="K59" s="341"/>
      <c r="L59" s="341"/>
      <c r="M59" s="341"/>
      <c r="N59" s="341"/>
      <c r="O59" s="356"/>
      <c r="P59" s="340"/>
      <c r="Q59" s="341"/>
      <c r="R59" s="341"/>
      <c r="S59" s="341"/>
      <c r="T59" s="341"/>
      <c r="U59" s="356"/>
      <c r="V59" s="340"/>
      <c r="W59" s="341"/>
      <c r="X59" s="341"/>
      <c r="Y59" s="341"/>
      <c r="Z59" s="341"/>
      <c r="AA59" s="356"/>
      <c r="AB59" s="340"/>
      <c r="AC59" s="341"/>
      <c r="AD59" s="341"/>
      <c r="AE59" s="341"/>
      <c r="AF59" s="341"/>
      <c r="AG59" s="356"/>
      <c r="AH59" s="340"/>
      <c r="AI59" s="341"/>
      <c r="AJ59" s="341"/>
      <c r="AK59" s="341"/>
      <c r="AL59" s="341"/>
      <c r="AM59" s="356"/>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40"/>
      <c r="K60" s="341"/>
      <c r="L60" s="341"/>
      <c r="M60" s="341"/>
      <c r="N60" s="341"/>
      <c r="O60" s="356"/>
      <c r="P60" s="340"/>
      <c r="Q60" s="341"/>
      <c r="R60" s="341"/>
      <c r="S60" s="341"/>
      <c r="T60" s="341"/>
      <c r="U60" s="356"/>
      <c r="V60" s="340"/>
      <c r="W60" s="341"/>
      <c r="X60" s="341"/>
      <c r="Y60" s="341"/>
      <c r="Z60" s="341"/>
      <c r="AA60" s="356"/>
      <c r="AB60" s="340"/>
      <c r="AC60" s="341"/>
      <c r="AD60" s="341"/>
      <c r="AE60" s="341"/>
      <c r="AF60" s="341"/>
      <c r="AG60" s="356"/>
      <c r="AH60" s="340"/>
      <c r="AI60" s="341"/>
      <c r="AJ60" s="341"/>
      <c r="AK60" s="341"/>
      <c r="AL60" s="341"/>
      <c r="AM60" s="356"/>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42"/>
      <c r="K61" s="343"/>
      <c r="L61" s="343"/>
      <c r="M61" s="343"/>
      <c r="N61" s="343"/>
      <c r="O61" s="357"/>
      <c r="P61" s="342"/>
      <c r="Q61" s="343"/>
      <c r="R61" s="343"/>
      <c r="S61" s="343"/>
      <c r="T61" s="343"/>
      <c r="U61" s="357"/>
      <c r="V61" s="342"/>
      <c r="W61" s="343"/>
      <c r="X61" s="343"/>
      <c r="Y61" s="343"/>
      <c r="Z61" s="343"/>
      <c r="AA61" s="357"/>
      <c r="AB61" s="342"/>
      <c r="AC61" s="343"/>
      <c r="AD61" s="343"/>
      <c r="AE61" s="343"/>
      <c r="AF61" s="343"/>
      <c r="AG61" s="357"/>
      <c r="AH61" s="342"/>
      <c r="AI61" s="343"/>
      <c r="AJ61" s="343"/>
      <c r="AK61" s="343"/>
      <c r="AL61" s="343"/>
      <c r="AM61" s="357"/>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7" t="s">
        <v>51</v>
      </c>
      <c r="C1" s="377"/>
      <c r="D1" s="377"/>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8" t="s">
        <v>59</v>
      </c>
      <c r="C1" s="378"/>
      <c r="D1" s="378"/>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IF(NOT(ISERROR(MATCH(G210,_xlfn.ANCHORARRAY(B221),0))),F223&amp;"Por favor no seleccionar los criterios de impacto",G210)</f>
        <v>❌Por favor no seleccionar los criterios de impacto</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str" cm="1">
        <f t="array" ref="B221:B223">_xlfn.UNIQUE(Tabla1[[#All],[Criterios]])</f>
        <v>Criterios</v>
      </c>
      <c r="C221" s="18"/>
      <c r="E221" t="s">
        <v>114</v>
      </c>
      <c r="F221" t="str">
        <f t="shared" si="0"/>
        <v xml:space="preserve">     El riesgo afecta la imagen de la entidad a nivel nacional, con efecto publicitarios sostenible a nivel país</v>
      </c>
    </row>
    <row r="222" spans="1:8" x14ac:dyDescent="0.25">
      <c r="A222" s="70"/>
      <c r="B222" s="18" t="str">
        <v>Afectación Económica o presupuestal</v>
      </c>
      <c r="C222" s="18"/>
    </row>
    <row r="223" spans="1:8" x14ac:dyDescent="0.25">
      <c r="B223" s="18" t="str">
        <v>Pérdida Reputacional</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9" t="s">
        <v>74</v>
      </c>
      <c r="C1" s="380"/>
      <c r="D1" s="380"/>
      <c r="E1" s="380"/>
      <c r="F1" s="381"/>
    </row>
    <row r="2" spans="2:6" ht="16.5" thickBot="1" x14ac:dyDescent="0.3">
      <c r="B2" s="76"/>
      <c r="C2" s="76"/>
      <c r="D2" s="76"/>
      <c r="E2" s="76"/>
      <c r="F2" s="76"/>
    </row>
    <row r="3" spans="2:6" ht="16.5" thickBot="1" x14ac:dyDescent="0.25">
      <c r="B3" s="383" t="s">
        <v>60</v>
      </c>
      <c r="C3" s="384"/>
      <c r="D3" s="384"/>
      <c r="E3" s="137" t="s">
        <v>61</v>
      </c>
      <c r="F3" s="138" t="s">
        <v>62</v>
      </c>
    </row>
    <row r="4" spans="2:6" ht="31.5" x14ac:dyDescent="0.2">
      <c r="B4" s="385" t="s">
        <v>63</v>
      </c>
      <c r="C4" s="387" t="s">
        <v>12</v>
      </c>
      <c r="D4" s="77" t="s">
        <v>13</v>
      </c>
      <c r="E4" s="78" t="s">
        <v>64</v>
      </c>
      <c r="F4" s="79">
        <v>0.25</v>
      </c>
    </row>
    <row r="5" spans="2:6" ht="47.25" x14ac:dyDescent="0.2">
      <c r="B5" s="386"/>
      <c r="C5" s="388"/>
      <c r="D5" s="80" t="s">
        <v>14</v>
      </c>
      <c r="E5" s="81" t="s">
        <v>65</v>
      </c>
      <c r="F5" s="82">
        <v>0.15</v>
      </c>
    </row>
    <row r="6" spans="2:6" ht="47.25" x14ac:dyDescent="0.2">
      <c r="B6" s="386"/>
      <c r="C6" s="388"/>
      <c r="D6" s="80" t="s">
        <v>15</v>
      </c>
      <c r="E6" s="81" t="s">
        <v>66</v>
      </c>
      <c r="F6" s="82">
        <v>0.1</v>
      </c>
    </row>
    <row r="7" spans="2:6" ht="63" x14ac:dyDescent="0.2">
      <c r="B7" s="386"/>
      <c r="C7" s="388" t="s">
        <v>16</v>
      </c>
      <c r="D7" s="80" t="s">
        <v>9</v>
      </c>
      <c r="E7" s="81" t="s">
        <v>67</v>
      </c>
      <c r="F7" s="82">
        <v>0.25</v>
      </c>
    </row>
    <row r="8" spans="2:6" ht="31.5" x14ac:dyDescent="0.2">
      <c r="B8" s="386"/>
      <c r="C8" s="388"/>
      <c r="D8" s="80" t="s">
        <v>8</v>
      </c>
      <c r="E8" s="81" t="s">
        <v>68</v>
      </c>
      <c r="F8" s="82">
        <v>0.15</v>
      </c>
    </row>
    <row r="9" spans="2:6" ht="47.25" x14ac:dyDescent="0.2">
      <c r="B9" s="386" t="s">
        <v>155</v>
      </c>
      <c r="C9" s="388" t="s">
        <v>17</v>
      </c>
      <c r="D9" s="80" t="s">
        <v>18</v>
      </c>
      <c r="E9" s="81" t="s">
        <v>69</v>
      </c>
      <c r="F9" s="83" t="s">
        <v>70</v>
      </c>
    </row>
    <row r="10" spans="2:6" ht="63" x14ac:dyDescent="0.2">
      <c r="B10" s="386"/>
      <c r="C10" s="388"/>
      <c r="D10" s="80" t="s">
        <v>19</v>
      </c>
      <c r="E10" s="81" t="s">
        <v>71</v>
      </c>
      <c r="F10" s="83" t="s">
        <v>70</v>
      </c>
    </row>
    <row r="11" spans="2:6" ht="47.25" x14ac:dyDescent="0.2">
      <c r="B11" s="386"/>
      <c r="C11" s="388" t="s">
        <v>20</v>
      </c>
      <c r="D11" s="80" t="s">
        <v>21</v>
      </c>
      <c r="E11" s="81" t="s">
        <v>72</v>
      </c>
      <c r="F11" s="83" t="s">
        <v>70</v>
      </c>
    </row>
    <row r="12" spans="2:6" ht="47.25" x14ac:dyDescent="0.2">
      <c r="B12" s="386"/>
      <c r="C12" s="388"/>
      <c r="D12" s="80" t="s">
        <v>22</v>
      </c>
      <c r="E12" s="81" t="s">
        <v>73</v>
      </c>
      <c r="F12" s="83" t="s">
        <v>70</v>
      </c>
    </row>
    <row r="13" spans="2:6" ht="31.5" x14ac:dyDescent="0.2">
      <c r="B13" s="386"/>
      <c r="C13" s="388" t="s">
        <v>23</v>
      </c>
      <c r="D13" s="80" t="s">
        <v>115</v>
      </c>
      <c r="E13" s="81" t="s">
        <v>118</v>
      </c>
      <c r="F13" s="83" t="s">
        <v>70</v>
      </c>
    </row>
    <row r="14" spans="2:6" ht="32.25" thickBot="1" x14ac:dyDescent="0.25">
      <c r="B14" s="389"/>
      <c r="C14" s="390"/>
      <c r="D14" s="84" t="s">
        <v>116</v>
      </c>
      <c r="E14" s="85" t="s">
        <v>117</v>
      </c>
      <c r="F14" s="86" t="s">
        <v>70</v>
      </c>
    </row>
    <row r="15" spans="2:6" ht="49.5" customHeight="1" x14ac:dyDescent="0.2">
      <c r="B15" s="382" t="s">
        <v>152</v>
      </c>
      <c r="C15" s="382"/>
      <c r="D15" s="382"/>
      <c r="E15" s="382"/>
      <c r="F15" s="382"/>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2022-02-07T14:59:25Z</dcterms:modified>
</cp:coreProperties>
</file>