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disco D\INDUPAL\CONTRALORIA MUNICIPAL\3. VALORACION DE RIESGOS\"/>
    </mc:Choice>
  </mc:AlternateContent>
  <bookViews>
    <workbookView xWindow="-120" yWindow="-120" windowWidth="20730" windowHeight="11160" tabRatio="882" activeTab="1"/>
  </bookViews>
  <sheets>
    <sheet name="Ins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concurrentCalc="0"/>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 i="1" l="1"/>
  <c r="M13" i="1"/>
  <c r="M12" i="1"/>
  <c r="M11" i="1"/>
  <c r="M10" i="1"/>
  <c r="J9" i="1"/>
  <c r="K9" i="1"/>
  <c r="S11" i="1"/>
  <c r="S12" i="1"/>
  <c r="S13" i="1"/>
  <c r="S10" i="1"/>
  <c r="S9" i="1"/>
  <c r="V128" i="1"/>
  <c r="S128" i="1"/>
  <c r="V127" i="1"/>
  <c r="S127" i="1"/>
  <c r="V126" i="1"/>
  <c r="S126" i="1"/>
  <c r="V125" i="1"/>
  <c r="S125" i="1"/>
  <c r="V124" i="1"/>
  <c r="S124" i="1"/>
  <c r="V123" i="1"/>
  <c r="S123" i="1"/>
  <c r="J123" i="1"/>
  <c r="V122" i="1"/>
  <c r="S122" i="1"/>
  <c r="V121" i="1"/>
  <c r="S121" i="1"/>
  <c r="V120" i="1"/>
  <c r="S120" i="1"/>
  <c r="V119" i="1"/>
  <c r="S119" i="1"/>
  <c r="V118" i="1"/>
  <c r="S118" i="1"/>
  <c r="V117" i="1"/>
  <c r="S117" i="1"/>
  <c r="J117" i="1"/>
  <c r="V116" i="1"/>
  <c r="S116" i="1"/>
  <c r="V115" i="1"/>
  <c r="S115" i="1"/>
  <c r="V114" i="1"/>
  <c r="S114" i="1"/>
  <c r="V113" i="1"/>
  <c r="S113" i="1"/>
  <c r="V112" i="1"/>
  <c r="S112" i="1"/>
  <c r="V111" i="1"/>
  <c r="S111" i="1"/>
  <c r="AD111" i="1"/>
  <c r="AC111" i="1"/>
  <c r="J111" i="1"/>
  <c r="K111" i="1"/>
  <c r="V110" i="1"/>
  <c r="S110" i="1"/>
  <c r="V109" i="1"/>
  <c r="S109" i="1"/>
  <c r="V108" i="1"/>
  <c r="S108" i="1"/>
  <c r="V107" i="1"/>
  <c r="S107" i="1"/>
  <c r="V106" i="1"/>
  <c r="S106" i="1"/>
  <c r="V105" i="1"/>
  <c r="S105" i="1"/>
  <c r="J105" i="1"/>
  <c r="V104" i="1"/>
  <c r="S104" i="1"/>
  <c r="V103" i="1"/>
  <c r="S103" i="1"/>
  <c r="V102" i="1"/>
  <c r="S102" i="1"/>
  <c r="V101" i="1"/>
  <c r="S101" i="1"/>
  <c r="V100" i="1"/>
  <c r="S100" i="1"/>
  <c r="V99" i="1"/>
  <c r="S99" i="1"/>
  <c r="AD99" i="1"/>
  <c r="AC99" i="1"/>
  <c r="J99" i="1"/>
  <c r="K99" i="1"/>
  <c r="V98" i="1"/>
  <c r="S98" i="1"/>
  <c r="V97" i="1"/>
  <c r="S97" i="1"/>
  <c r="V96" i="1"/>
  <c r="S96" i="1"/>
  <c r="V95" i="1"/>
  <c r="S95" i="1"/>
  <c r="V94" i="1"/>
  <c r="S94" i="1"/>
  <c r="V93" i="1"/>
  <c r="S93" i="1"/>
  <c r="J93" i="1"/>
  <c r="V92" i="1"/>
  <c r="S92" i="1"/>
  <c r="V91" i="1"/>
  <c r="S91" i="1"/>
  <c r="V90" i="1"/>
  <c r="S90" i="1"/>
  <c r="V89" i="1"/>
  <c r="S89" i="1"/>
  <c r="V88" i="1"/>
  <c r="S88" i="1"/>
  <c r="V87" i="1"/>
  <c r="S87" i="1"/>
  <c r="AD87" i="1"/>
  <c r="AC87" i="1"/>
  <c r="J87" i="1"/>
  <c r="K87" i="1"/>
  <c r="V86" i="1"/>
  <c r="S86" i="1"/>
  <c r="V85" i="1"/>
  <c r="S85" i="1"/>
  <c r="V84" i="1"/>
  <c r="S84" i="1"/>
  <c r="V83" i="1"/>
  <c r="S83" i="1"/>
  <c r="V82" i="1"/>
  <c r="S82" i="1"/>
  <c r="V81" i="1"/>
  <c r="S81" i="1"/>
  <c r="J81" i="1"/>
  <c r="V80" i="1"/>
  <c r="S80" i="1"/>
  <c r="V79" i="1"/>
  <c r="S79" i="1"/>
  <c r="V78" i="1"/>
  <c r="S78" i="1"/>
  <c r="V77" i="1"/>
  <c r="S77" i="1"/>
  <c r="V76" i="1"/>
  <c r="S76" i="1"/>
  <c r="V75" i="1"/>
  <c r="S75" i="1"/>
  <c r="AD75" i="1"/>
  <c r="AC75" i="1"/>
  <c r="J75" i="1"/>
  <c r="K75" i="1"/>
  <c r="V74" i="1"/>
  <c r="S74" i="1"/>
  <c r="V73" i="1"/>
  <c r="S73" i="1"/>
  <c r="V72" i="1"/>
  <c r="S72" i="1"/>
  <c r="V71" i="1"/>
  <c r="S71" i="1"/>
  <c r="V70" i="1"/>
  <c r="S70" i="1"/>
  <c r="V69" i="1"/>
  <c r="S69" i="1"/>
  <c r="Z69" i="1"/>
  <c r="AB69" i="1"/>
  <c r="J69" i="1"/>
  <c r="M86" i="1"/>
  <c r="M106" i="1"/>
  <c r="M114" i="1"/>
  <c r="M85" i="1"/>
  <c r="M84" i="1"/>
  <c r="M103" i="1"/>
  <c r="M72" i="1"/>
  <c r="M79" i="1"/>
  <c r="M121" i="1"/>
  <c r="M116" i="1"/>
  <c r="M113" i="1"/>
  <c r="M88" i="1"/>
  <c r="M128" i="1"/>
  <c r="M76" i="1"/>
  <c r="M118" i="1"/>
  <c r="M91" i="1"/>
  <c r="M94" i="1"/>
  <c r="M82" i="1"/>
  <c r="M124" i="1"/>
  <c r="M109" i="1"/>
  <c r="M74" i="1"/>
  <c r="M73" i="1"/>
  <c r="M77" i="1"/>
  <c r="M122" i="1"/>
  <c r="M90" i="1"/>
  <c r="M71" i="1"/>
  <c r="M96" i="1"/>
  <c r="M101" i="1"/>
  <c r="M100" i="1"/>
  <c r="M102" i="1"/>
  <c r="M120" i="1"/>
  <c r="M78" i="1"/>
  <c r="M119" i="1"/>
  <c r="M127" i="1"/>
  <c r="M126" i="1"/>
  <c r="M104" i="1"/>
  <c r="M97" i="1"/>
  <c r="M112" i="1"/>
  <c r="M98" i="1"/>
  <c r="M80" i="1"/>
  <c r="M95" i="1"/>
  <c r="M70" i="1"/>
  <c r="M125" i="1"/>
  <c r="M115" i="1"/>
  <c r="M108" i="1"/>
  <c r="M107" i="1"/>
  <c r="M92" i="1"/>
  <c r="M110" i="1"/>
  <c r="M83" i="1"/>
  <c r="M89" i="1"/>
  <c r="Z119" i="1"/>
  <c r="Z109" i="1"/>
  <c r="AD73" i="1"/>
  <c r="AC73" i="1"/>
  <c r="Z83" i="1"/>
  <c r="Z95" i="1"/>
  <c r="AA95" i="1"/>
  <c r="AD120" i="1"/>
  <c r="AC120" i="1"/>
  <c r="AD92" i="1"/>
  <c r="AC92" i="1"/>
  <c r="AD126" i="1"/>
  <c r="AC126" i="1"/>
  <c r="Z80" i="1"/>
  <c r="AB80" i="1"/>
  <c r="AD109" i="1"/>
  <c r="AC109" i="1"/>
  <c r="AD116" i="1"/>
  <c r="AC116" i="1"/>
  <c r="AD113" i="1"/>
  <c r="AC113" i="1"/>
  <c r="AD124" i="1"/>
  <c r="AC124" i="1"/>
  <c r="AD102" i="1"/>
  <c r="AC102" i="1"/>
  <c r="AD82" i="1"/>
  <c r="AC82" i="1"/>
  <c r="AD89" i="1"/>
  <c r="AC89" i="1"/>
  <c r="AD106" i="1"/>
  <c r="AC106" i="1"/>
  <c r="Z111" i="1"/>
  <c r="AB111" i="1"/>
  <c r="Z102" i="1"/>
  <c r="AB102" i="1"/>
  <c r="AD119" i="1"/>
  <c r="AC119" i="1"/>
  <c r="AD69" i="1"/>
  <c r="AC69" i="1"/>
  <c r="Z73" i="1"/>
  <c r="AB73" i="1"/>
  <c r="AD77" i="1"/>
  <c r="AC77" i="1"/>
  <c r="Z92" i="1"/>
  <c r="AB92" i="1"/>
  <c r="AD95" i="1"/>
  <c r="AC95" i="1"/>
  <c r="AD80" i="1"/>
  <c r="AC80" i="1"/>
  <c r="AD74" i="1"/>
  <c r="AC74" i="1"/>
  <c r="AD79" i="1"/>
  <c r="AC79" i="1"/>
  <c r="AD103" i="1"/>
  <c r="AC103" i="1"/>
  <c r="Z126" i="1"/>
  <c r="AB126" i="1"/>
  <c r="Z123" i="1"/>
  <c r="AB123" i="1"/>
  <c r="Z112" i="1"/>
  <c r="AB112" i="1"/>
  <c r="AD72" i="1"/>
  <c r="AC72" i="1"/>
  <c r="Z76" i="1"/>
  <c r="AB76" i="1"/>
  <c r="Z88" i="1"/>
  <c r="Z105" i="1"/>
  <c r="AB105" i="1"/>
  <c r="AD112" i="1"/>
  <c r="AC112" i="1"/>
  <c r="AD76" i="1"/>
  <c r="AC76" i="1"/>
  <c r="AD88" i="1"/>
  <c r="AC88" i="1"/>
  <c r="AD96" i="1"/>
  <c r="AC96" i="1"/>
  <c r="AD105" i="1"/>
  <c r="AC105" i="1"/>
  <c r="AD110" i="1"/>
  <c r="AC110" i="1"/>
  <c r="AD114" i="1"/>
  <c r="AC114" i="1"/>
  <c r="Z116" i="1"/>
  <c r="AB116" i="1"/>
  <c r="AD70" i="1"/>
  <c r="AC70" i="1"/>
  <c r="AD127" i="1"/>
  <c r="AC127" i="1"/>
  <c r="AA83" i="1"/>
  <c r="AB83" i="1"/>
  <c r="AD86" i="1"/>
  <c r="AC86" i="1"/>
  <c r="Z86" i="1"/>
  <c r="AD98" i="1"/>
  <c r="AC98" i="1"/>
  <c r="Z98" i="1"/>
  <c r="AD97" i="1"/>
  <c r="AC97" i="1"/>
  <c r="Z97" i="1"/>
  <c r="AD122" i="1"/>
  <c r="AC122" i="1"/>
  <c r="Z122" i="1"/>
  <c r="K69" i="1"/>
  <c r="AA69" i="1"/>
  <c r="Z70" i="1"/>
  <c r="Z74" i="1"/>
  <c r="Z77" i="1"/>
  <c r="AD84" i="1"/>
  <c r="AC84" i="1"/>
  <c r="Z84" i="1"/>
  <c r="AD83" i="1"/>
  <c r="AC83" i="1"/>
  <c r="AD94" i="1"/>
  <c r="AC94" i="1"/>
  <c r="Z94" i="1"/>
  <c r="AD93" i="1"/>
  <c r="AC93" i="1"/>
  <c r="Z93" i="1"/>
  <c r="AD104" i="1"/>
  <c r="AC104" i="1"/>
  <c r="Z104" i="1"/>
  <c r="AD108" i="1"/>
  <c r="AC108" i="1"/>
  <c r="Z108" i="1"/>
  <c r="AD107" i="1"/>
  <c r="AC107" i="1"/>
  <c r="Z107" i="1"/>
  <c r="AD118" i="1"/>
  <c r="AC118" i="1"/>
  <c r="Z118" i="1"/>
  <c r="AD117" i="1"/>
  <c r="AC117" i="1"/>
  <c r="Z117" i="1"/>
  <c r="AD121" i="1"/>
  <c r="AC121" i="1"/>
  <c r="AD85" i="1"/>
  <c r="AC85" i="1"/>
  <c r="K105" i="1"/>
  <c r="Z78" i="1"/>
  <c r="AD78" i="1"/>
  <c r="AC78" i="1"/>
  <c r="Z81" i="1"/>
  <c r="AD81" i="1"/>
  <c r="AC81" i="1"/>
  <c r="Z85" i="1"/>
  <c r="AB88" i="1"/>
  <c r="AA88" i="1"/>
  <c r="AD101" i="1"/>
  <c r="AC101" i="1"/>
  <c r="Z101" i="1"/>
  <c r="AD100" i="1"/>
  <c r="AC100" i="1"/>
  <c r="Z100" i="1"/>
  <c r="AD125" i="1"/>
  <c r="AC125" i="1"/>
  <c r="Z125" i="1"/>
  <c r="AD128" i="1"/>
  <c r="AC128" i="1"/>
  <c r="Z71" i="1"/>
  <c r="AD71" i="1"/>
  <c r="AC71" i="1"/>
  <c r="Z72" i="1"/>
  <c r="Z75" i="1"/>
  <c r="Z79" i="1"/>
  <c r="K81" i="1"/>
  <c r="Z82" i="1"/>
  <c r="AD91" i="1"/>
  <c r="AC91" i="1"/>
  <c r="Z91" i="1"/>
  <c r="AD90" i="1"/>
  <c r="AC90" i="1"/>
  <c r="Z90" i="1"/>
  <c r="AB109" i="1"/>
  <c r="AA109" i="1"/>
  <c r="AD115" i="1"/>
  <c r="AC115" i="1"/>
  <c r="Z115" i="1"/>
  <c r="Z114" i="1"/>
  <c r="AB119" i="1"/>
  <c r="AA119" i="1"/>
  <c r="AE119" i="1"/>
  <c r="Z89" i="1"/>
  <c r="Z96" i="1"/>
  <c r="Z99" i="1"/>
  <c r="Z103" i="1"/>
  <c r="Z106" i="1"/>
  <c r="Z110" i="1"/>
  <c r="Z113" i="1"/>
  <c r="Z120" i="1"/>
  <c r="AD123" i="1"/>
  <c r="AC123" i="1"/>
  <c r="Z127" i="1"/>
  <c r="Z121" i="1"/>
  <c r="K123" i="1"/>
  <c r="Z124" i="1"/>
  <c r="Z128" i="1"/>
  <c r="Z87" i="1"/>
  <c r="K93" i="1"/>
  <c r="K117" i="1"/>
  <c r="AA111" i="1"/>
  <c r="AE111" i="1"/>
  <c r="AA92" i="1"/>
  <c r="AA123" i="1"/>
  <c r="AB95" i="1"/>
  <c r="AA80" i="1"/>
  <c r="AE80" i="1"/>
  <c r="AE95" i="1"/>
  <c r="AA102" i="1"/>
  <c r="AE102" i="1"/>
  <c r="AE92" i="1"/>
  <c r="AA76" i="1"/>
  <c r="AE76" i="1"/>
  <c r="AE109" i="1"/>
  <c r="AE123" i="1"/>
  <c r="AA105" i="1"/>
  <c r="AE105" i="1"/>
  <c r="AE69" i="1"/>
  <c r="AA116" i="1"/>
  <c r="AE116" i="1"/>
  <c r="AA73" i="1"/>
  <c r="AE73" i="1"/>
  <c r="AA126" i="1"/>
  <c r="AE126" i="1"/>
  <c r="AA112" i="1"/>
  <c r="AE112" i="1"/>
  <c r="AE88" i="1"/>
  <c r="AA117" i="1"/>
  <c r="AE117" i="1"/>
  <c r="AB117" i="1"/>
  <c r="AB108" i="1"/>
  <c r="AA108" i="1"/>
  <c r="AE108" i="1"/>
  <c r="AB122" i="1"/>
  <c r="AA122" i="1"/>
  <c r="AE122" i="1"/>
  <c r="AB106" i="1"/>
  <c r="AA106" i="1"/>
  <c r="AE106" i="1"/>
  <c r="AB89" i="1"/>
  <c r="AA89" i="1"/>
  <c r="AE89" i="1"/>
  <c r="AA114" i="1"/>
  <c r="AE114" i="1"/>
  <c r="AB114" i="1"/>
  <c r="AA90" i="1"/>
  <c r="AE90" i="1"/>
  <c r="AB90" i="1"/>
  <c r="AA82" i="1"/>
  <c r="AE82" i="1"/>
  <c r="AB82" i="1"/>
  <c r="AA72" i="1"/>
  <c r="AE72" i="1"/>
  <c r="AB72" i="1"/>
  <c r="AB125" i="1"/>
  <c r="AA125" i="1"/>
  <c r="AE125" i="1"/>
  <c r="AA100" i="1"/>
  <c r="AE100" i="1"/>
  <c r="AB100" i="1"/>
  <c r="AA81" i="1"/>
  <c r="AE81" i="1"/>
  <c r="AB81" i="1"/>
  <c r="AA124" i="1"/>
  <c r="AE124" i="1"/>
  <c r="AB124" i="1"/>
  <c r="AB127" i="1"/>
  <c r="AA127" i="1"/>
  <c r="AE127" i="1"/>
  <c r="AB110" i="1"/>
  <c r="AA110" i="1"/>
  <c r="AE110" i="1"/>
  <c r="AB96" i="1"/>
  <c r="AA96" i="1"/>
  <c r="AE96" i="1"/>
  <c r="AA93" i="1"/>
  <c r="AE93" i="1"/>
  <c r="AB93" i="1"/>
  <c r="AB98" i="1"/>
  <c r="AA98" i="1"/>
  <c r="AE98" i="1"/>
  <c r="AB87" i="1"/>
  <c r="AA87" i="1"/>
  <c r="AE87" i="1"/>
  <c r="AB120" i="1"/>
  <c r="AA120" i="1"/>
  <c r="AE120" i="1"/>
  <c r="AB103" i="1"/>
  <c r="AA103" i="1"/>
  <c r="AE103" i="1"/>
  <c r="AB115" i="1"/>
  <c r="AA115" i="1"/>
  <c r="AE115" i="1"/>
  <c r="AB118" i="1"/>
  <c r="AA118" i="1"/>
  <c r="AE118" i="1"/>
  <c r="AA107" i="1"/>
  <c r="AE107" i="1"/>
  <c r="AB107" i="1"/>
  <c r="AA104" i="1"/>
  <c r="AE104" i="1"/>
  <c r="AB104" i="1"/>
  <c r="AB94" i="1"/>
  <c r="AA94" i="1"/>
  <c r="AE94" i="1"/>
  <c r="AB77" i="1"/>
  <c r="AA77" i="1"/>
  <c r="AE77" i="1"/>
  <c r="AB70" i="1"/>
  <c r="AA70" i="1"/>
  <c r="AE70" i="1"/>
  <c r="AA97" i="1"/>
  <c r="AE97" i="1"/>
  <c r="AB97" i="1"/>
  <c r="AB86" i="1"/>
  <c r="AA86" i="1"/>
  <c r="AE86" i="1"/>
  <c r="AB75" i="1"/>
  <c r="AA75" i="1"/>
  <c r="AE75" i="1"/>
  <c r="AB74" i="1"/>
  <c r="AA74" i="1"/>
  <c r="AE74" i="1"/>
  <c r="AA128" i="1"/>
  <c r="AE128" i="1"/>
  <c r="AB128" i="1"/>
  <c r="AA121" i="1"/>
  <c r="AE121" i="1"/>
  <c r="AB121" i="1"/>
  <c r="AB113" i="1"/>
  <c r="AA113" i="1"/>
  <c r="AE113" i="1"/>
  <c r="AB99" i="1"/>
  <c r="AA99" i="1"/>
  <c r="AE99" i="1"/>
  <c r="AB91" i="1"/>
  <c r="AA91" i="1"/>
  <c r="AE91" i="1"/>
  <c r="AA79" i="1"/>
  <c r="AE79" i="1"/>
  <c r="AB79" i="1"/>
  <c r="AA71" i="1"/>
  <c r="AE71" i="1"/>
  <c r="AB71" i="1"/>
  <c r="AB101" i="1"/>
  <c r="AA101" i="1"/>
  <c r="AE101" i="1"/>
  <c r="AA85" i="1"/>
  <c r="AE85" i="1"/>
  <c r="AB85" i="1"/>
  <c r="AA78" i="1"/>
  <c r="AE78" i="1"/>
  <c r="AB78" i="1"/>
  <c r="AB84" i="1"/>
  <c r="AA84" i="1"/>
  <c r="AE84" i="1"/>
  <c r="AE83" i="1"/>
  <c r="V9" i="1"/>
  <c r="M35" i="1"/>
  <c r="M36" i="1"/>
  <c r="M68" i="1"/>
  <c r="M65" i="1"/>
  <c r="M46" i="1"/>
  <c r="M50" i="1"/>
  <c r="M66" i="1"/>
  <c r="M53" i="1"/>
  <c r="M34" i="1"/>
  <c r="M40" i="1"/>
  <c r="M61" i="1"/>
  <c r="M42" i="1"/>
  <c r="M52" i="1"/>
  <c r="M17" i="1"/>
  <c r="M26" i="1"/>
  <c r="M24" i="1"/>
  <c r="M60" i="1"/>
  <c r="M19" i="1"/>
  <c r="M49" i="1"/>
  <c r="M32" i="1"/>
  <c r="M62" i="1"/>
  <c r="M22" i="1"/>
  <c r="M58" i="1"/>
  <c r="M20" i="1"/>
  <c r="M38" i="1"/>
  <c r="M48" i="1"/>
  <c r="M67" i="1"/>
  <c r="M29" i="1"/>
  <c r="M47" i="1"/>
  <c r="M64" i="1"/>
  <c r="M54" i="1"/>
  <c r="M41" i="1"/>
  <c r="M37" i="1"/>
  <c r="M25" i="1"/>
  <c r="M16" i="1"/>
  <c r="M56" i="1"/>
  <c r="M44" i="1"/>
  <c r="M43" i="1"/>
  <c r="M18" i="1"/>
  <c r="M30" i="1"/>
  <c r="M23" i="1"/>
  <c r="M59" i="1"/>
  <c r="M28" i="1"/>
  <c r="M55" i="1"/>
  <c r="M31" i="1"/>
  <c r="Z9" i="1"/>
  <c r="AB9" i="1"/>
  <c r="Z10" i="1"/>
  <c r="F221" i="13"/>
  <c r="F211" i="13"/>
  <c r="F212" i="13"/>
  <c r="F213" i="13"/>
  <c r="F214" i="13"/>
  <c r="F215" i="13"/>
  <c r="F216" i="13"/>
  <c r="F217" i="13"/>
  <c r="F218" i="13"/>
  <c r="F219" i="13"/>
  <c r="F220" i="13"/>
  <c r="F210" i="13"/>
  <c r="B221" i="13" a="1"/>
  <c r="B221" i="13"/>
  <c r="S51" i="1"/>
  <c r="S46" i="1"/>
  <c r="S40"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V68" i="1"/>
  <c r="S68" i="1"/>
  <c r="V67" i="1"/>
  <c r="S67" i="1"/>
  <c r="V66" i="1"/>
  <c r="S66" i="1"/>
  <c r="V65" i="1"/>
  <c r="S65" i="1"/>
  <c r="V64" i="1"/>
  <c r="S64" i="1"/>
  <c r="V63" i="1"/>
  <c r="S63" i="1"/>
  <c r="J63" i="1"/>
  <c r="K63" i="1"/>
  <c r="V62" i="1"/>
  <c r="S62" i="1"/>
  <c r="V61" i="1"/>
  <c r="S61" i="1"/>
  <c r="V60" i="1"/>
  <c r="S60" i="1"/>
  <c r="V59" i="1"/>
  <c r="S59" i="1"/>
  <c r="V58" i="1"/>
  <c r="S58" i="1"/>
  <c r="V57" i="1"/>
  <c r="S57" i="1"/>
  <c r="J57" i="1"/>
  <c r="K57" i="1"/>
  <c r="V56" i="1"/>
  <c r="S56" i="1"/>
  <c r="V55" i="1"/>
  <c r="S55" i="1"/>
  <c r="V54" i="1"/>
  <c r="S54" i="1"/>
  <c r="V53" i="1"/>
  <c r="S53" i="1"/>
  <c r="V52" i="1"/>
  <c r="S52" i="1"/>
  <c r="V51" i="1"/>
  <c r="J51" i="1"/>
  <c r="K51" i="1"/>
  <c r="V50" i="1"/>
  <c r="S50" i="1"/>
  <c r="V49" i="1"/>
  <c r="S49" i="1"/>
  <c r="V48" i="1"/>
  <c r="S48" i="1"/>
  <c r="V47" i="1"/>
  <c r="S47" i="1"/>
  <c r="V46" i="1"/>
  <c r="V45" i="1"/>
  <c r="S45" i="1"/>
  <c r="J45" i="1"/>
  <c r="K45" i="1"/>
  <c r="V44" i="1"/>
  <c r="S44" i="1"/>
  <c r="V43" i="1"/>
  <c r="S43" i="1"/>
  <c r="V42" i="1"/>
  <c r="S42" i="1"/>
  <c r="V41" i="1"/>
  <c r="S41" i="1"/>
  <c r="V40" i="1"/>
  <c r="V39" i="1"/>
  <c r="S39" i="1"/>
  <c r="J39" i="1"/>
  <c r="K39" i="1"/>
  <c r="V38" i="1"/>
  <c r="S38" i="1"/>
  <c r="V37" i="1"/>
  <c r="S37" i="1"/>
  <c r="V36" i="1"/>
  <c r="S36" i="1"/>
  <c r="V35" i="1"/>
  <c r="S35" i="1"/>
  <c r="V34" i="1"/>
  <c r="S34" i="1"/>
  <c r="V33" i="1"/>
  <c r="S33" i="1"/>
  <c r="J33" i="1"/>
  <c r="K33" i="1"/>
  <c r="V32" i="1"/>
  <c r="S32" i="1"/>
  <c r="V31" i="1"/>
  <c r="S31" i="1"/>
  <c r="V30" i="1"/>
  <c r="S30" i="1"/>
  <c r="V29" i="1"/>
  <c r="S29" i="1"/>
  <c r="V28" i="1"/>
  <c r="S28" i="1"/>
  <c r="V27" i="1"/>
  <c r="S27" i="1"/>
  <c r="J27" i="1"/>
  <c r="K27" i="1"/>
  <c r="V26" i="1"/>
  <c r="S26" i="1"/>
  <c r="V25" i="1"/>
  <c r="S25" i="1"/>
  <c r="V24" i="1"/>
  <c r="S24" i="1"/>
  <c r="V23" i="1"/>
  <c r="S23" i="1"/>
  <c r="V22" i="1"/>
  <c r="S22" i="1"/>
  <c r="V21" i="1"/>
  <c r="S21" i="1"/>
  <c r="J21" i="1"/>
  <c r="K21" i="1"/>
  <c r="J15" i="1"/>
  <c r="S14" i="1"/>
  <c r="V20" i="1"/>
  <c r="S20" i="1"/>
  <c r="V19" i="1"/>
  <c r="S19" i="1"/>
  <c r="V18" i="1"/>
  <c r="S18" i="1"/>
  <c r="V17" i="1"/>
  <c r="S17" i="1"/>
  <c r="V16" i="1"/>
  <c r="S16" i="1"/>
  <c r="V15" i="1"/>
  <c r="S15" i="1"/>
  <c r="AD49" i="1"/>
  <c r="AC49" i="1"/>
  <c r="AD50" i="1"/>
  <c r="AC50" i="1"/>
  <c r="K15" i="1"/>
  <c r="Z15" i="1"/>
  <c r="Z63" i="1"/>
  <c r="Z57" i="1"/>
  <c r="Z51" i="1"/>
  <c r="Z45" i="1"/>
  <c r="Z49" i="1"/>
  <c r="Z50" i="1"/>
  <c r="Z39" i="1"/>
  <c r="Z33" i="1"/>
  <c r="Z27" i="1"/>
  <c r="Z21" i="1"/>
  <c r="AA63" i="1"/>
  <c r="AB63" i="1"/>
  <c r="Z64" i="1"/>
  <c r="AA64" i="1"/>
  <c r="AA57" i="1"/>
  <c r="AB57" i="1"/>
  <c r="Z58" i="1"/>
  <c r="AB58" i="1"/>
  <c r="Z59" i="1"/>
  <c r="AA51" i="1"/>
  <c r="AB51" i="1"/>
  <c r="Z52" i="1"/>
  <c r="AB52" i="1"/>
  <c r="Z53" i="1"/>
  <c r="AA50" i="1"/>
  <c r="AB50" i="1"/>
  <c r="AA49" i="1"/>
  <c r="AB49" i="1"/>
  <c r="AA45" i="1"/>
  <c r="AB45" i="1"/>
  <c r="AA39" i="1"/>
  <c r="AB39" i="1"/>
  <c r="Z40" i="1"/>
  <c r="AB40" i="1"/>
  <c r="Z41" i="1"/>
  <c r="AA33" i="1"/>
  <c r="AB33" i="1"/>
  <c r="AA27" i="1"/>
  <c r="AB27" i="1"/>
  <c r="Z28" i="1"/>
  <c r="AB28" i="1"/>
  <c r="Z29" i="1"/>
  <c r="AA29" i="1"/>
  <c r="AA21" i="1"/>
  <c r="AB21" i="1"/>
  <c r="Z22" i="1"/>
  <c r="AA22" i="1"/>
  <c r="AA15" i="1"/>
  <c r="AB15" i="1"/>
  <c r="Z16" i="1"/>
  <c r="AA58" i="1"/>
  <c r="AA52" i="1"/>
  <c r="AB22" i="1"/>
  <c r="Z23" i="1"/>
  <c r="AA23" i="1"/>
  <c r="AA40" i="1"/>
  <c r="AA28" i="1"/>
  <c r="AA41" i="1"/>
  <c r="AB41" i="1"/>
  <c r="AB59" i="1"/>
  <c r="Z60" i="1"/>
  <c r="AA59" i="1"/>
  <c r="AB53" i="1"/>
  <c r="Z54" i="1"/>
  <c r="AA53" i="1"/>
  <c r="AB64" i="1"/>
  <c r="Z65" i="1"/>
  <c r="Z34" i="1"/>
  <c r="Z46" i="1"/>
  <c r="Z47" i="1"/>
  <c r="AB29"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E49" i="1"/>
  <c r="AE50" i="1"/>
  <c r="V11" i="1"/>
  <c r="V12" i="1"/>
  <c r="V13" i="1"/>
  <c r="V14" i="1"/>
  <c r="AA60" i="1"/>
  <c r="AB60" i="1"/>
  <c r="AA54" i="1"/>
  <c r="AB54" i="1"/>
  <c r="Z55" i="1"/>
  <c r="AB23" i="1"/>
  <c r="Z24" i="1"/>
  <c r="AB24" i="1"/>
  <c r="AA47" i="1"/>
  <c r="AB47" i="1"/>
  <c r="Z48" i="1"/>
  <c r="AA65" i="1"/>
  <c r="AB65" i="1"/>
  <c r="Z66" i="1"/>
  <c r="AA46" i="1"/>
  <c r="AB46" i="1"/>
  <c r="Z42" i="1"/>
  <c r="AA34" i="1"/>
  <c r="AB34" i="1"/>
  <c r="Z35" i="1"/>
  <c r="AA35" i="1"/>
  <c r="Z31" i="1"/>
  <c r="AA31" i="1"/>
  <c r="Z30" i="1"/>
  <c r="AA16" i="1"/>
  <c r="AB16" i="1"/>
  <c r="Z17" i="1"/>
  <c r="AA17" i="1"/>
  <c r="AB35" i="1"/>
  <c r="Z36" i="1"/>
  <c r="AB36" i="1"/>
  <c r="Z37" i="1"/>
  <c r="AA55" i="1"/>
  <c r="AB55" i="1"/>
  <c r="Z56" i="1"/>
  <c r="Z61" i="1"/>
  <c r="Z62" i="1"/>
  <c r="AA24" i="1"/>
  <c r="AA42" i="1"/>
  <c r="AB42" i="1"/>
  <c r="Z43" i="1"/>
  <c r="AA43" i="1"/>
  <c r="AA48" i="1"/>
  <c r="AB48" i="1"/>
  <c r="Z25" i="1"/>
  <c r="AB66" i="1"/>
  <c r="AA66" i="1"/>
  <c r="AA30" i="1"/>
  <c r="AB30" i="1"/>
  <c r="AB31" i="1"/>
  <c r="Z32" i="1"/>
  <c r="AB17" i="1"/>
  <c r="Z18" i="1"/>
  <c r="AA18" i="1"/>
  <c r="AA36" i="1"/>
  <c r="AA62" i="1"/>
  <c r="AB62" i="1"/>
  <c r="AA61" i="1"/>
  <c r="AB61" i="1"/>
  <c r="AA56" i="1"/>
  <c r="AB56" i="1"/>
  <c r="Z67" i="1"/>
  <c r="Z68" i="1"/>
  <c r="AB43" i="1"/>
  <c r="Z44" i="1"/>
  <c r="AA44" i="1"/>
  <c r="AB37" i="1"/>
  <c r="Z38" i="1"/>
  <c r="AA37" i="1"/>
  <c r="AA25" i="1"/>
  <c r="AB25" i="1"/>
  <c r="Z26" i="1"/>
  <c r="AA26" i="1"/>
  <c r="AA32" i="1"/>
  <c r="AB32" i="1"/>
  <c r="AB18" i="1"/>
  <c r="Z19" i="1"/>
  <c r="AB19" i="1"/>
  <c r="Z20" i="1"/>
  <c r="AA9" i="1"/>
  <c r="AA68" i="1"/>
  <c r="AB68" i="1"/>
  <c r="AA67" i="1"/>
  <c r="AB67" i="1"/>
  <c r="AA38" i="1"/>
  <c r="AB38" i="1"/>
  <c r="AB44" i="1"/>
  <c r="AB26" i="1"/>
  <c r="AA19" i="1"/>
  <c r="AA20" i="1"/>
  <c r="AB20" i="1"/>
  <c r="AA10" i="1"/>
  <c r="AB10" i="1"/>
  <c r="Z11" i="1"/>
  <c r="AA11" i="1"/>
  <c r="AB11" i="1"/>
  <c r="Z12" i="1"/>
  <c r="AB12" i="1"/>
  <c r="Z13" i="1"/>
  <c r="AA13" i="1"/>
  <c r="AB13" i="1"/>
  <c r="Z14" i="1"/>
  <c r="AA12" i="1"/>
  <c r="AA14" i="1"/>
  <c r="AB14" i="1"/>
  <c r="M9" i="1"/>
  <c r="N9" i="1"/>
  <c r="O9" i="1"/>
  <c r="M123" i="1"/>
  <c r="N123" i="1"/>
  <c r="M87" i="1"/>
  <c r="N87" i="1"/>
  <c r="M93" i="1"/>
  <c r="N93" i="1"/>
  <c r="M99" i="1"/>
  <c r="N99" i="1"/>
  <c r="M69" i="1"/>
  <c r="N69" i="1"/>
  <c r="M81" i="1"/>
  <c r="N81" i="1"/>
  <c r="M111" i="1"/>
  <c r="N111" i="1"/>
  <c r="M105" i="1"/>
  <c r="N105" i="1"/>
  <c r="M75" i="1"/>
  <c r="N75" i="1"/>
  <c r="M117" i="1"/>
  <c r="N117" i="1"/>
  <c r="M39" i="1"/>
  <c r="N39" i="1"/>
  <c r="M27" i="1"/>
  <c r="N27" i="1"/>
  <c r="M21" i="1"/>
  <c r="N21" i="1"/>
  <c r="M51" i="1"/>
  <c r="N51" i="1"/>
  <c r="M45" i="1"/>
  <c r="N45" i="1"/>
  <c r="M33" i="1"/>
  <c r="N33" i="1"/>
  <c r="M63" i="1"/>
  <c r="N63" i="1"/>
  <c r="M57" i="1"/>
  <c r="N57" i="1"/>
  <c r="M15" i="1"/>
  <c r="N15" i="1"/>
  <c r="O105" i="1"/>
  <c r="P105" i="1"/>
  <c r="O111" i="1"/>
  <c r="P111" i="1"/>
  <c r="O93" i="1"/>
  <c r="P93" i="1"/>
  <c r="O117" i="1"/>
  <c r="P117" i="1"/>
  <c r="O81" i="1"/>
  <c r="P81" i="1"/>
  <c r="O87" i="1"/>
  <c r="P87" i="1"/>
  <c r="P99" i="1"/>
  <c r="O99" i="1"/>
  <c r="O75" i="1"/>
  <c r="P75" i="1"/>
  <c r="O69" i="1"/>
  <c r="P69" i="1"/>
  <c r="O123" i="1"/>
  <c r="P123" i="1"/>
  <c r="Z42" i="18"/>
  <c r="N42" i="18"/>
  <c r="AF26" i="18"/>
  <c r="N26" i="18"/>
  <c r="AF18" i="18"/>
  <c r="T10" i="18"/>
  <c r="N34" i="18"/>
  <c r="T34" i="18"/>
  <c r="T18" i="18"/>
  <c r="Z18" i="18"/>
  <c r="Z10" i="18"/>
  <c r="AL18" i="18"/>
  <c r="Z26" i="18"/>
  <c r="P57" i="1"/>
  <c r="O57"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O51" i="1"/>
  <c r="AJ42" i="18"/>
  <c r="AJ18" i="18"/>
  <c r="AD26" i="18"/>
  <c r="L10" i="18"/>
  <c r="AD10" i="18"/>
  <c r="X18" i="18"/>
  <c r="AD42" i="18"/>
  <c r="L18" i="18"/>
  <c r="R10" i="18"/>
  <c r="P51" i="1"/>
  <c r="O63" i="1"/>
  <c r="AD63" i="1"/>
  <c r="AB36" i="18"/>
  <c r="AH12" i="18"/>
  <c r="P28" i="18"/>
  <c r="AH20" i="18"/>
  <c r="P36" i="18"/>
  <c r="V12" i="18"/>
  <c r="AH28" i="18"/>
  <c r="AB20" i="18"/>
  <c r="J12" i="18"/>
  <c r="J20" i="18"/>
  <c r="P63" i="1"/>
  <c r="P44" i="18"/>
  <c r="AB44" i="18"/>
  <c r="V28" i="18"/>
  <c r="V36" i="18"/>
  <c r="J28" i="18"/>
  <c r="AH36" i="18"/>
  <c r="J44" i="18"/>
  <c r="P12" i="18"/>
  <c r="AB12" i="18"/>
  <c r="V44" i="18"/>
  <c r="AH44" i="18"/>
  <c r="V20" i="18"/>
  <c r="P20" i="18"/>
  <c r="J36" i="18"/>
  <c r="AB28" i="18"/>
  <c r="T38" i="18"/>
  <c r="AF22" i="18"/>
  <c r="N38" i="18"/>
  <c r="AF30" i="18"/>
  <c r="AL6" i="18"/>
  <c r="Z6" i="18"/>
  <c r="P21" i="1"/>
  <c r="T14" i="18"/>
  <c r="T22" i="18"/>
  <c r="N6" i="18"/>
  <c r="AL30" i="18"/>
  <c r="Z22" i="18"/>
  <c r="Z14" i="18"/>
  <c r="O21" i="1"/>
  <c r="Z30" i="18"/>
  <c r="AL38" i="18"/>
  <c r="AL14" i="18"/>
  <c r="AF6" i="18"/>
  <c r="AL22" i="18"/>
  <c r="T30" i="18"/>
  <c r="Z38" i="18"/>
  <c r="AF14" i="18"/>
  <c r="N30" i="18"/>
  <c r="N14" i="18"/>
  <c r="N22" i="18"/>
  <c r="AF38" i="18"/>
  <c r="T6" i="18"/>
  <c r="O33" i="1"/>
  <c r="X32" i="18"/>
  <c r="AD32" i="18"/>
  <c r="AJ8" i="18"/>
  <c r="L16" i="18"/>
  <c r="R32" i="18"/>
  <c r="AJ32" i="18"/>
  <c r="P33" i="1"/>
  <c r="R40" i="18"/>
  <c r="AJ40" i="18"/>
  <c r="AD24" i="18"/>
  <c r="AJ24" i="18"/>
  <c r="R24" i="18"/>
  <c r="AJ16" i="18"/>
  <c r="AD8" i="18"/>
  <c r="L32" i="18"/>
  <c r="L40" i="18"/>
  <c r="R16" i="18"/>
  <c r="L24" i="18"/>
  <c r="AD16" i="18"/>
  <c r="L8" i="18"/>
  <c r="R8" i="18"/>
  <c r="X40" i="18"/>
  <c r="X8" i="18"/>
  <c r="X16" i="18"/>
  <c r="AD40" i="18"/>
  <c r="X24" i="18"/>
  <c r="O27" i="1"/>
  <c r="J40" i="18"/>
  <c r="J16" i="18"/>
  <c r="P16" i="18"/>
  <c r="V8" i="18"/>
  <c r="J8" i="18"/>
  <c r="J24" i="18"/>
  <c r="AH16" i="18"/>
  <c r="AB16" i="18"/>
  <c r="AB40" i="18"/>
  <c r="P32" i="18"/>
  <c r="P40" i="18"/>
  <c r="AH24" i="18"/>
  <c r="AB32" i="18"/>
  <c r="J32" i="18"/>
  <c r="V16" i="18"/>
  <c r="V40" i="18"/>
  <c r="AH32" i="18"/>
  <c r="V24" i="18"/>
  <c r="V32" i="18"/>
  <c r="AH8" i="18"/>
  <c r="AB8" i="18"/>
  <c r="P8" i="18"/>
  <c r="P27" i="1"/>
  <c r="AH40" i="18"/>
  <c r="AB24" i="18"/>
  <c r="P24" i="18"/>
  <c r="AD38" i="18"/>
  <c r="L30" i="18"/>
  <c r="AD30" i="18"/>
  <c r="AJ6" i="18"/>
  <c r="L14" i="18"/>
  <c r="L22" i="18"/>
  <c r="X6" i="18"/>
  <c r="L6" i="18"/>
  <c r="P15" i="1"/>
  <c r="R38" i="18"/>
  <c r="AJ38" i="18"/>
  <c r="L38" i="18"/>
  <c r="AD6" i="18"/>
  <c r="R6" i="18"/>
  <c r="AJ30" i="18"/>
  <c r="R30" i="18"/>
  <c r="AD22" i="18"/>
  <c r="AJ14" i="18"/>
  <c r="AJ22" i="18"/>
  <c r="AD14" i="18"/>
  <c r="X38" i="18"/>
  <c r="X14" i="18"/>
  <c r="R22" i="18"/>
  <c r="X22" i="18"/>
  <c r="O15"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D9" i="1"/>
  <c r="O45" i="1"/>
  <c r="AH34" i="18"/>
  <c r="AH42" i="18"/>
  <c r="AH18" i="18"/>
  <c r="AB10" i="18"/>
  <c r="J26" i="18"/>
  <c r="V18" i="18"/>
  <c r="V42" i="18"/>
  <c r="J42" i="18"/>
  <c r="P10" i="18"/>
  <c r="AB26" i="18"/>
  <c r="J34" i="18"/>
  <c r="J18" i="18"/>
  <c r="AH10" i="18"/>
  <c r="AB34" i="18"/>
  <c r="P26" i="18"/>
  <c r="P34" i="18"/>
  <c r="V34" i="18"/>
  <c r="AH26" i="18"/>
  <c r="J10" i="18"/>
  <c r="P45" i="1"/>
  <c r="P18" i="18"/>
  <c r="AB42" i="18"/>
  <c r="V10" i="18"/>
  <c r="AB18" i="18"/>
  <c r="P42" i="18"/>
  <c r="V26" i="18"/>
  <c r="Z32" i="18"/>
  <c r="N24" i="18"/>
  <c r="AL32" i="18"/>
  <c r="AL40" i="18"/>
  <c r="N8" i="18"/>
  <c r="AF24" i="18"/>
  <c r="Z40" i="18"/>
  <c r="Z16" i="18"/>
  <c r="N32" i="18"/>
  <c r="T32" i="18"/>
  <c r="N40" i="18"/>
  <c r="T8" i="18"/>
  <c r="O39" i="1"/>
  <c r="AF32" i="18"/>
  <c r="AL8" i="18"/>
  <c r="T24" i="18"/>
  <c r="N16" i="18"/>
  <c r="T16" i="18"/>
  <c r="Z24" i="18"/>
  <c r="AF16" i="18"/>
  <c r="P39" i="1"/>
  <c r="T40" i="18"/>
  <c r="AF8" i="18"/>
  <c r="AL24" i="18"/>
  <c r="Z8" i="18"/>
  <c r="AF40" i="18"/>
  <c r="AL16" i="18"/>
  <c r="AD28" i="1"/>
  <c r="AD27" i="1"/>
  <c r="AC27" i="1"/>
  <c r="AC63" i="1"/>
  <c r="AD65" i="1"/>
  <c r="AD58" i="1"/>
  <c r="AD57" i="1"/>
  <c r="AD40" i="1"/>
  <c r="AD39" i="1"/>
  <c r="AC39" i="1"/>
  <c r="AD52" i="1"/>
  <c r="AD51" i="1"/>
  <c r="AC51" i="1"/>
  <c r="AC9" i="1"/>
  <c r="AD10" i="1"/>
  <c r="AD16" i="1"/>
  <c r="AD15" i="1"/>
  <c r="AC15" i="1"/>
  <c r="AD22" i="1"/>
  <c r="AD21" i="1"/>
  <c r="AC21" i="1"/>
  <c r="AD46" i="1"/>
  <c r="AD45" i="1"/>
  <c r="AC45" i="1"/>
  <c r="AD34" i="1"/>
  <c r="AD33" i="1"/>
  <c r="AC33" i="1"/>
  <c r="J40" i="19"/>
  <c r="V30" i="19"/>
  <c r="AH20" i="19"/>
  <c r="J30" i="19"/>
  <c r="V20" i="19"/>
  <c r="AH10" i="19"/>
  <c r="P10" i="19"/>
  <c r="AB50" i="19"/>
  <c r="J50" i="19"/>
  <c r="AB40" i="19"/>
  <c r="P30" i="19"/>
  <c r="V50" i="19"/>
  <c r="P50" i="19"/>
  <c r="AB10" i="19"/>
  <c r="AH30" i="19"/>
  <c r="AH40" i="19"/>
  <c r="J10" i="19"/>
  <c r="AB20" i="19"/>
  <c r="AH50" i="19"/>
  <c r="AE33" i="1"/>
  <c r="V10" i="19"/>
  <c r="P20" i="19"/>
  <c r="J20" i="19"/>
  <c r="P40" i="19"/>
  <c r="V40" i="19"/>
  <c r="AB30" i="19"/>
  <c r="J11" i="19"/>
  <c r="V11" i="19"/>
  <c r="AB21" i="19"/>
  <c r="P31" i="19"/>
  <c r="J31" i="19"/>
  <c r="AB41" i="19"/>
  <c r="AE39" i="1"/>
  <c r="AH41" i="19"/>
  <c r="P41" i="19"/>
  <c r="J21" i="19"/>
  <c r="AB31" i="19"/>
  <c r="AB51" i="19"/>
  <c r="P21" i="19"/>
  <c r="V41" i="19"/>
  <c r="V31" i="19"/>
  <c r="AH21" i="19"/>
  <c r="AB11" i="19"/>
  <c r="P51" i="19"/>
  <c r="V21" i="19"/>
  <c r="AH31" i="19"/>
  <c r="V51" i="19"/>
  <c r="J51" i="19"/>
  <c r="AH51" i="19"/>
  <c r="AH11" i="19"/>
  <c r="J41" i="19"/>
  <c r="P11" i="19"/>
  <c r="AC22" i="1"/>
  <c r="AD23" i="1"/>
  <c r="AB36" i="19"/>
  <c r="AH16" i="19"/>
  <c r="P16" i="19"/>
  <c r="V46" i="19"/>
  <c r="J6" i="19"/>
  <c r="AB16" i="19"/>
  <c r="V26" i="19"/>
  <c r="V16" i="19"/>
  <c r="AB6" i="19"/>
  <c r="J26" i="19"/>
  <c r="P6" i="19"/>
  <c r="AH46" i="19"/>
  <c r="P46" i="19"/>
  <c r="AH26" i="19"/>
  <c r="AH36" i="19"/>
  <c r="V36" i="19"/>
  <c r="P36" i="19"/>
  <c r="V6" i="19"/>
  <c r="AH6" i="19"/>
  <c r="AB46" i="19"/>
  <c r="AB26" i="19"/>
  <c r="J16" i="19"/>
  <c r="P26" i="19"/>
  <c r="AE9" i="1"/>
  <c r="J36" i="19"/>
  <c r="J46" i="19"/>
  <c r="V25" i="19"/>
  <c r="AH25" i="19"/>
  <c r="P45" i="19"/>
  <c r="AH45" i="19"/>
  <c r="AH15" i="19"/>
  <c r="AB55" i="19"/>
  <c r="J45" i="19"/>
  <c r="AH35" i="19"/>
  <c r="V45" i="19"/>
  <c r="AH55" i="19"/>
  <c r="V15" i="19"/>
  <c r="J25" i="19"/>
  <c r="V35" i="19"/>
  <c r="AE63" i="1"/>
  <c r="P25" i="19"/>
  <c r="V55" i="19"/>
  <c r="J15" i="19"/>
  <c r="AB15" i="19"/>
  <c r="J35" i="19"/>
  <c r="AB35" i="19"/>
  <c r="J55" i="19"/>
  <c r="AB25" i="19"/>
  <c r="P35" i="19"/>
  <c r="P55" i="19"/>
  <c r="AB45" i="19"/>
  <c r="P15" i="19"/>
  <c r="J47" i="19"/>
  <c r="V27" i="19"/>
  <c r="AH7" i="19"/>
  <c r="P47" i="19"/>
  <c r="AB27" i="19"/>
  <c r="J17" i="19"/>
  <c r="V47" i="19"/>
  <c r="J37" i="19"/>
  <c r="AE15" i="1"/>
  <c r="AB37" i="19"/>
  <c r="J27" i="19"/>
  <c r="V7" i="19"/>
  <c r="AH37" i="19"/>
  <c r="P27" i="19"/>
  <c r="AB7" i="19"/>
  <c r="P17" i="19"/>
  <c r="V17" i="19"/>
  <c r="AH47" i="19"/>
  <c r="P37" i="19"/>
  <c r="AB17" i="19"/>
  <c r="J7" i="19"/>
  <c r="V37" i="19"/>
  <c r="AH17" i="19"/>
  <c r="P7" i="19"/>
  <c r="AH27" i="19"/>
  <c r="AB47" i="19"/>
  <c r="AE51"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57" i="1"/>
  <c r="AD64" i="1"/>
  <c r="AC64" i="1"/>
  <c r="AE27"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E21"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D11" i="1"/>
  <c r="AC10" i="1"/>
  <c r="AC65" i="1"/>
  <c r="AD66" i="1"/>
  <c r="AD35" i="1"/>
  <c r="AC34" i="1"/>
  <c r="AC40" i="1"/>
  <c r="AD41" i="1"/>
  <c r="AC41" i="1"/>
  <c r="AD42" i="1"/>
  <c r="V32" i="19"/>
  <c r="P42" i="19"/>
  <c r="J12" i="19"/>
  <c r="J32" i="19"/>
  <c r="AB52" i="19"/>
  <c r="AE45" i="1"/>
  <c r="J22" i="19"/>
  <c r="V22" i="19"/>
  <c r="J52" i="19"/>
  <c r="AH12" i="19"/>
  <c r="J42" i="19"/>
  <c r="AH42" i="19"/>
  <c r="P32" i="19"/>
  <c r="AB12" i="19"/>
  <c r="AH32" i="19"/>
  <c r="AB32" i="19"/>
  <c r="AB42" i="19"/>
  <c r="V42" i="19"/>
  <c r="V12" i="19"/>
  <c r="V52" i="19"/>
  <c r="AB22" i="19"/>
  <c r="AH52" i="19"/>
  <c r="AH22" i="19"/>
  <c r="P22" i="19"/>
  <c r="P12" i="19"/>
  <c r="P52" i="19"/>
  <c r="AD47" i="1"/>
  <c r="AC47" i="1"/>
  <c r="AD48" i="1"/>
  <c r="AC48" i="1"/>
  <c r="AC46" i="1"/>
  <c r="AD17" i="1"/>
  <c r="AC16" i="1"/>
  <c r="AC52" i="1"/>
  <c r="AD53" i="1"/>
  <c r="AC58" i="1"/>
  <c r="AD59" i="1"/>
  <c r="AC28" i="1"/>
  <c r="AD29" i="1"/>
  <c r="W37" i="19"/>
  <c r="AI7" i="19"/>
  <c r="W17" i="19"/>
  <c r="W27" i="19"/>
  <c r="Q47" i="19"/>
  <c r="W7" i="19"/>
  <c r="AI17" i="19"/>
  <c r="K47" i="19"/>
  <c r="AI47" i="19"/>
  <c r="Q27" i="19"/>
  <c r="AC27" i="19"/>
  <c r="AC47" i="19"/>
  <c r="AC37" i="19"/>
  <c r="AI37" i="19"/>
  <c r="AE16" i="1"/>
  <c r="AC17" i="19"/>
  <c r="K37" i="19"/>
  <c r="AC7" i="19"/>
  <c r="W47" i="19"/>
  <c r="Q37" i="19"/>
  <c r="AI27" i="19"/>
  <c r="Q7" i="19"/>
  <c r="K27" i="19"/>
  <c r="K17" i="19"/>
  <c r="K7" i="19"/>
  <c r="Q17" i="19"/>
  <c r="AC66" i="1"/>
  <c r="AD67" i="1"/>
  <c r="K35" i="19"/>
  <c r="AC25" i="19"/>
  <c r="K45" i="19"/>
  <c r="AI45" i="19"/>
  <c r="W45" i="19"/>
  <c r="Q35" i="19"/>
  <c r="K55" i="19"/>
  <c r="AC15" i="19"/>
  <c r="Q15" i="19"/>
  <c r="AC35" i="19"/>
  <c r="AI35" i="19"/>
  <c r="Q55" i="19"/>
  <c r="AI25" i="19"/>
  <c r="AE64"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E58"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E40" i="1"/>
  <c r="AD55" i="19"/>
  <c r="R15" i="19"/>
  <c r="AJ35" i="19"/>
  <c r="AE65"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E57"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E47" i="1"/>
  <c r="AD12" i="19"/>
  <c r="AD32" i="19"/>
  <c r="AD22" i="19"/>
  <c r="X52" i="19"/>
  <c r="AD52" i="19"/>
  <c r="L42" i="19"/>
  <c r="R42" i="19"/>
  <c r="AJ21" i="19"/>
  <c r="AD31" i="19"/>
  <c r="R21" i="19"/>
  <c r="AD41" i="19"/>
  <c r="AJ11" i="19"/>
  <c r="AJ51" i="19"/>
  <c r="AE41" i="1"/>
  <c r="L41" i="19"/>
  <c r="AD11" i="19"/>
  <c r="L21" i="19"/>
  <c r="L11" i="19"/>
  <c r="X51" i="19"/>
  <c r="X21" i="19"/>
  <c r="R11" i="19"/>
  <c r="R31" i="19"/>
  <c r="AJ41" i="19"/>
  <c r="L31" i="19"/>
  <c r="R51" i="19"/>
  <c r="X31" i="19"/>
  <c r="X11" i="19"/>
  <c r="X41" i="19"/>
  <c r="AJ31" i="19"/>
  <c r="AD51" i="19"/>
  <c r="R41" i="19"/>
  <c r="AD21" i="19"/>
  <c r="L51" i="19"/>
  <c r="AD18" i="1"/>
  <c r="AC17" i="1"/>
  <c r="AC29" i="1"/>
  <c r="AD30" i="1"/>
  <c r="AC53" i="1"/>
  <c r="AD54" i="1"/>
  <c r="K42" i="19"/>
  <c r="AC32" i="19"/>
  <c r="W42" i="19"/>
  <c r="AI52" i="19"/>
  <c r="K22" i="19"/>
  <c r="Q32" i="19"/>
  <c r="AI12" i="19"/>
  <c r="AC52" i="19"/>
  <c r="Q42" i="19"/>
  <c r="AC42" i="19"/>
  <c r="K12" i="19"/>
  <c r="Q22" i="19"/>
  <c r="W52" i="19"/>
  <c r="AI42" i="19"/>
  <c r="W32" i="19"/>
  <c r="AI22" i="19"/>
  <c r="W12" i="19"/>
  <c r="AI32" i="19"/>
  <c r="AC12" i="19"/>
  <c r="Q12" i="19"/>
  <c r="Q52" i="19"/>
  <c r="AE46" i="1"/>
  <c r="K32" i="19"/>
  <c r="W22" i="19"/>
  <c r="K52" i="19"/>
  <c r="AC22" i="19"/>
  <c r="AC40" i="19"/>
  <c r="W10" i="19"/>
  <c r="AC50" i="19"/>
  <c r="Q10" i="19"/>
  <c r="Q30" i="19"/>
  <c r="W50" i="19"/>
  <c r="K40" i="19"/>
  <c r="Q50" i="19"/>
  <c r="W20" i="19"/>
  <c r="AE34" i="1"/>
  <c r="K10" i="19"/>
  <c r="Q40" i="19"/>
  <c r="K30" i="19"/>
  <c r="AI50" i="19"/>
  <c r="AI20" i="19"/>
  <c r="K50" i="19"/>
  <c r="AI40" i="19"/>
  <c r="W40" i="19"/>
  <c r="K20" i="19"/>
  <c r="AC10" i="19"/>
  <c r="AI10" i="19"/>
  <c r="AC20" i="19"/>
  <c r="AI30" i="19"/>
  <c r="AC30" i="19"/>
  <c r="W30" i="19"/>
  <c r="Q20" i="19"/>
  <c r="AE10"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D24" i="1"/>
  <c r="AC23" i="1"/>
  <c r="AC59" i="1"/>
  <c r="AD60" i="1"/>
  <c r="K39" i="19"/>
  <c r="AC39" i="19"/>
  <c r="W29" i="19"/>
  <c r="AI49" i="19"/>
  <c r="W9" i="19"/>
  <c r="AC19" i="19"/>
  <c r="Q49" i="19"/>
  <c r="W49" i="19"/>
  <c r="AC9" i="19"/>
  <c r="AI9" i="19"/>
  <c r="Q29" i="19"/>
  <c r="W39" i="19"/>
  <c r="Q39" i="19"/>
  <c r="AE28"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E52" i="1"/>
  <c r="Q33" i="19"/>
  <c r="AI23" i="19"/>
  <c r="K53" i="19"/>
  <c r="AC23" i="19"/>
  <c r="AC13" i="19"/>
  <c r="W23" i="19"/>
  <c r="W33" i="19"/>
  <c r="Q13" i="19"/>
  <c r="W13" i="19"/>
  <c r="AI13" i="19"/>
  <c r="Q43" i="19"/>
  <c r="Q23" i="19"/>
  <c r="W53" i="19"/>
  <c r="M12" i="19"/>
  <c r="AK42" i="19"/>
  <c r="AE32" i="19"/>
  <c r="AE48" i="1"/>
  <c r="M52" i="19"/>
  <c r="S12" i="19"/>
  <c r="M32" i="19"/>
  <c r="S52" i="19"/>
  <c r="Y52" i="19"/>
  <c r="Y42" i="19"/>
  <c r="AK12" i="19"/>
  <c r="S22" i="19"/>
  <c r="AE12" i="19"/>
  <c r="Y22" i="19"/>
  <c r="S32" i="19"/>
  <c r="AK52" i="19"/>
  <c r="M22" i="19"/>
  <c r="AK32" i="19"/>
  <c r="AE22" i="19"/>
  <c r="AE42" i="19"/>
  <c r="Y32" i="19"/>
  <c r="M42" i="19"/>
  <c r="Y12" i="19"/>
  <c r="AE52" i="19"/>
  <c r="AK22" i="19"/>
  <c r="S42" i="19"/>
  <c r="AC42" i="1"/>
  <c r="AD44" i="1"/>
  <c r="AC44" i="1"/>
  <c r="AD43" i="1"/>
  <c r="AC43" i="1"/>
  <c r="AC35" i="1"/>
  <c r="AD36" i="1"/>
  <c r="AD12" i="1"/>
  <c r="AC12" i="1"/>
  <c r="AC11" i="1"/>
  <c r="AD1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E22" i="1"/>
  <c r="AC13" i="1"/>
  <c r="AD14" i="1"/>
  <c r="AC14" i="1"/>
  <c r="R40" i="19"/>
  <c r="AD10" i="19"/>
  <c r="X40" i="19"/>
  <c r="AJ10" i="19"/>
  <c r="R50" i="19"/>
  <c r="X10" i="19"/>
  <c r="R30" i="19"/>
  <c r="AE35" i="1"/>
  <c r="L10" i="19"/>
  <c r="L50" i="19"/>
  <c r="AJ20" i="19"/>
  <c r="AJ40" i="19"/>
  <c r="AD30" i="19"/>
  <c r="R20" i="19"/>
  <c r="AD50" i="19"/>
  <c r="AJ30" i="19"/>
  <c r="AJ50" i="19"/>
  <c r="X30" i="19"/>
  <c r="AD20" i="19"/>
  <c r="L40" i="19"/>
  <c r="X50" i="19"/>
  <c r="X20" i="19"/>
  <c r="AD40" i="19"/>
  <c r="R10" i="19"/>
  <c r="L30" i="19"/>
  <c r="L20" i="19"/>
  <c r="AC54" i="1"/>
  <c r="AD55" i="1"/>
  <c r="AC67" i="1"/>
  <c r="AD68" i="1"/>
  <c r="AC68" i="1"/>
  <c r="AD47" i="19"/>
  <c r="AJ27" i="19"/>
  <c r="AD27" i="19"/>
  <c r="AJ7" i="19"/>
  <c r="AJ37" i="19"/>
  <c r="L27" i="19"/>
  <c r="AD17" i="19"/>
  <c r="L37" i="19"/>
  <c r="R17" i="19"/>
  <c r="AJ17" i="19"/>
  <c r="X7" i="19"/>
  <c r="X47" i="19"/>
  <c r="L7" i="19"/>
  <c r="L17" i="19"/>
  <c r="R27" i="19"/>
  <c r="X27" i="19"/>
  <c r="R7" i="19"/>
  <c r="X17" i="19"/>
  <c r="AJ47" i="19"/>
  <c r="L47" i="19"/>
  <c r="R37" i="19"/>
  <c r="AD7" i="19"/>
  <c r="X37" i="19"/>
  <c r="AE17" i="1"/>
  <c r="R47" i="19"/>
  <c r="AD37" i="19"/>
  <c r="AD25" i="1"/>
  <c r="AC25" i="1"/>
  <c r="AC24" i="1"/>
  <c r="AD26" i="1"/>
  <c r="AC26" i="1"/>
  <c r="AJ43" i="19"/>
  <c r="AD33" i="19"/>
  <c r="X33" i="19"/>
  <c r="X13" i="19"/>
  <c r="AD43" i="19"/>
  <c r="L43" i="19"/>
  <c r="AE53" i="1"/>
  <c r="X23" i="19"/>
  <c r="R33" i="19"/>
  <c r="R43" i="19"/>
  <c r="AD53" i="19"/>
  <c r="AJ13" i="19"/>
  <c r="R23" i="19"/>
  <c r="R13" i="19"/>
  <c r="AJ53" i="19"/>
  <c r="L33" i="19"/>
  <c r="L23" i="19"/>
  <c r="X43" i="19"/>
  <c r="X53" i="19"/>
  <c r="AD13" i="19"/>
  <c r="L53" i="19"/>
  <c r="L13" i="19"/>
  <c r="AD23" i="19"/>
  <c r="AJ33" i="19"/>
  <c r="AJ23" i="19"/>
  <c r="R53" i="19"/>
  <c r="AC18" i="1"/>
  <c r="AD19" i="1"/>
  <c r="M55" i="19"/>
  <c r="AK15" i="19"/>
  <c r="AE25" i="19"/>
  <c r="AE66"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E23"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E43"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E12" i="1"/>
  <c r="O11" i="19"/>
  <c r="O21" i="19"/>
  <c r="O51" i="19"/>
  <c r="AA31" i="19"/>
  <c r="AM31" i="19"/>
  <c r="AG51" i="19"/>
  <c r="AA41" i="19"/>
  <c r="AM11" i="19"/>
  <c r="U21" i="19"/>
  <c r="AG41" i="19"/>
  <c r="AM21" i="19"/>
  <c r="AM51" i="19"/>
  <c r="O41" i="19"/>
  <c r="U11" i="19"/>
  <c r="AG31" i="19"/>
  <c r="U41" i="19"/>
  <c r="AE44" i="1"/>
  <c r="AG11" i="19"/>
  <c r="AM41" i="19"/>
  <c r="AA21" i="19"/>
  <c r="AA51" i="19"/>
  <c r="U51" i="19"/>
  <c r="U31" i="19"/>
  <c r="AA11" i="19"/>
  <c r="AG21" i="19"/>
  <c r="O31" i="19"/>
  <c r="AC60" i="1"/>
  <c r="AD61" i="1"/>
  <c r="AC30" i="1"/>
  <c r="AD31" i="1"/>
  <c r="AC31" i="1"/>
  <c r="AD32" i="1"/>
  <c r="AC32" i="1"/>
  <c r="AJ46" i="19"/>
  <c r="AD46" i="19"/>
  <c r="L36" i="19"/>
  <c r="X16" i="19"/>
  <c r="AJ26" i="19"/>
  <c r="L46" i="19"/>
  <c r="X6" i="19"/>
  <c r="R36" i="19"/>
  <c r="X36" i="19"/>
  <c r="R6" i="19"/>
  <c r="AJ6" i="19"/>
  <c r="AD36" i="19"/>
  <c r="R46" i="19"/>
  <c r="AD26" i="19"/>
  <c r="L16" i="19"/>
  <c r="AD16" i="19"/>
  <c r="AE11" i="1"/>
  <c r="X46" i="19"/>
  <c r="X26" i="19"/>
  <c r="AJ36" i="19"/>
  <c r="R26" i="19"/>
  <c r="AD6" i="19"/>
  <c r="L6" i="19"/>
  <c r="L26" i="19"/>
  <c r="R16" i="19"/>
  <c r="AJ16" i="19"/>
  <c r="AC36" i="1"/>
  <c r="AD37" i="1"/>
  <c r="AE11" i="19"/>
  <c r="Y41" i="19"/>
  <c r="M41" i="19"/>
  <c r="Y21" i="19"/>
  <c r="AK41" i="19"/>
  <c r="S31" i="19"/>
  <c r="M31" i="19"/>
  <c r="M51" i="19"/>
  <c r="Y51" i="19"/>
  <c r="AK21" i="19"/>
  <c r="AK31" i="19"/>
  <c r="Y11" i="19"/>
  <c r="AE41" i="19"/>
  <c r="AE21" i="19"/>
  <c r="S51" i="19"/>
  <c r="AE51" i="19"/>
  <c r="AK51" i="19"/>
  <c r="M21" i="19"/>
  <c r="AE31" i="19"/>
  <c r="AE42" i="1"/>
  <c r="S41" i="19"/>
  <c r="AK11" i="19"/>
  <c r="S11" i="19"/>
  <c r="Y31" i="19"/>
  <c r="S21" i="19"/>
  <c r="M11" i="19"/>
  <c r="L54" i="19"/>
  <c r="AJ14" i="19"/>
  <c r="AD44" i="19"/>
  <c r="X54" i="19"/>
  <c r="R14" i="19"/>
  <c r="AD24" i="19"/>
  <c r="AD34" i="19"/>
  <c r="R54" i="19"/>
  <c r="L34" i="19"/>
  <c r="AJ34" i="19"/>
  <c r="X24" i="19"/>
  <c r="AJ24" i="19"/>
  <c r="X44" i="19"/>
  <c r="R24" i="19"/>
  <c r="AE59" i="1"/>
  <c r="X34" i="19"/>
  <c r="L14" i="19"/>
  <c r="AD14" i="19"/>
  <c r="L44" i="19"/>
  <c r="R44" i="19"/>
  <c r="AD54" i="19"/>
  <c r="X14" i="19"/>
  <c r="AJ44" i="19"/>
  <c r="R34" i="19"/>
  <c r="AJ54" i="19"/>
  <c r="L24" i="19"/>
  <c r="AD29" i="19"/>
  <c r="AD19" i="19"/>
  <c r="R39" i="19"/>
  <c r="R9" i="19"/>
  <c r="X49" i="19"/>
  <c r="X9" i="19"/>
  <c r="AD39" i="19"/>
  <c r="R29" i="19"/>
  <c r="L49" i="19"/>
  <c r="X19" i="19"/>
  <c r="X29" i="19"/>
  <c r="X39" i="19"/>
  <c r="L9" i="19"/>
  <c r="AE29" i="1"/>
  <c r="AD9" i="19"/>
  <c r="AJ49" i="19"/>
  <c r="L39" i="19"/>
  <c r="R19" i="19"/>
  <c r="AJ39" i="19"/>
  <c r="AJ29" i="19"/>
  <c r="AJ19" i="19"/>
  <c r="AJ9" i="19"/>
  <c r="AD49" i="19"/>
  <c r="L19" i="19"/>
  <c r="L29" i="19"/>
  <c r="R49" i="19"/>
  <c r="AC37" i="1"/>
  <c r="AD38" i="1"/>
  <c r="AC38" i="1"/>
  <c r="AG39" i="19"/>
  <c r="AG29" i="19"/>
  <c r="AM19" i="19"/>
  <c r="O39" i="19"/>
  <c r="AE32"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60" i="1"/>
  <c r="AE24" i="19"/>
  <c r="S14" i="19"/>
  <c r="AK17" i="19"/>
  <c r="S27" i="19"/>
  <c r="S37" i="19"/>
  <c r="AE27" i="19"/>
  <c r="Y47" i="19"/>
  <c r="S7" i="19"/>
  <c r="M17" i="19"/>
  <c r="AE17" i="19"/>
  <c r="AK27" i="19"/>
  <c r="Y7" i="19"/>
  <c r="Y37" i="19"/>
  <c r="AE37" i="19"/>
  <c r="Y27" i="19"/>
  <c r="M47" i="19"/>
  <c r="AE18"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4" i="1"/>
  <c r="AE28" i="19"/>
  <c r="AA55" i="19"/>
  <c r="O45" i="19"/>
  <c r="AA15" i="19"/>
  <c r="AM55" i="19"/>
  <c r="O55" i="19"/>
  <c r="AG35" i="19"/>
  <c r="AM25" i="19"/>
  <c r="AM35" i="19"/>
  <c r="AA25" i="19"/>
  <c r="AM45" i="19"/>
  <c r="AG25" i="19"/>
  <c r="AA35" i="19"/>
  <c r="O25" i="19"/>
  <c r="U25" i="19"/>
  <c r="AG45" i="19"/>
  <c r="U35" i="19"/>
  <c r="AA45" i="19"/>
  <c r="AM15" i="19"/>
  <c r="U45" i="19"/>
  <c r="O35" i="19"/>
  <c r="O15" i="19"/>
  <c r="AE68" i="1"/>
  <c r="AG15" i="19"/>
  <c r="U15" i="19"/>
  <c r="AG55" i="19"/>
  <c r="U55" i="19"/>
  <c r="AE40" i="19"/>
  <c r="Y30" i="19"/>
  <c r="M20" i="19"/>
  <c r="AE36"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E31" i="1"/>
  <c r="T19" i="19"/>
  <c r="AL49" i="19"/>
  <c r="T29" i="19"/>
  <c r="AF29" i="19"/>
  <c r="T18" i="19"/>
  <c r="N48" i="19"/>
  <c r="N8" i="19"/>
  <c r="T28" i="19"/>
  <c r="AF38" i="19"/>
  <c r="Z28" i="19"/>
  <c r="Z18" i="19"/>
  <c r="AF8" i="19"/>
  <c r="AE25"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E67"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E30" i="1"/>
  <c r="M9" i="19"/>
  <c r="Y29" i="19"/>
  <c r="AC55" i="1"/>
  <c r="AD56" i="1"/>
  <c r="AC56" i="1"/>
  <c r="AM46" i="19"/>
  <c r="U36" i="19"/>
  <c r="AG16" i="19"/>
  <c r="O6" i="19"/>
  <c r="AA36" i="19"/>
  <c r="AM16" i="19"/>
  <c r="U6" i="19"/>
  <c r="AG46" i="19"/>
  <c r="AA16" i="19"/>
  <c r="AE14" i="1"/>
  <c r="AA6" i="19"/>
  <c r="AG6" i="19"/>
  <c r="AA46" i="19"/>
  <c r="AM26" i="19"/>
  <c r="U16" i="19"/>
  <c r="O36" i="19"/>
  <c r="U26" i="19"/>
  <c r="O46" i="19"/>
  <c r="AA26" i="19"/>
  <c r="AM6" i="19"/>
  <c r="U46" i="19"/>
  <c r="AG26" i="19"/>
  <c r="O16" i="19"/>
  <c r="AG36" i="19"/>
  <c r="O26" i="19"/>
  <c r="AM36" i="19"/>
  <c r="AC61" i="1"/>
  <c r="AD62" i="1"/>
  <c r="AC62" i="1"/>
  <c r="AD20" i="1"/>
  <c r="AC20" i="1"/>
  <c r="AC19" i="1"/>
  <c r="O8" i="19"/>
  <c r="AA48" i="19"/>
  <c r="AM38" i="19"/>
  <c r="U48" i="19"/>
  <c r="AA18" i="19"/>
  <c r="AG18" i="19"/>
  <c r="AG48" i="19"/>
  <c r="AM18" i="19"/>
  <c r="AA28" i="19"/>
  <c r="AG28" i="19"/>
  <c r="AA8" i="19"/>
  <c r="U18" i="19"/>
  <c r="AG38" i="19"/>
  <c r="U38" i="19"/>
  <c r="AM8" i="19"/>
  <c r="AA38" i="19"/>
  <c r="AM48" i="19"/>
  <c r="U28" i="19"/>
  <c r="O38" i="19"/>
  <c r="U8" i="19"/>
  <c r="AG8" i="19"/>
  <c r="AE26"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E54" i="1"/>
  <c r="M33" i="19"/>
  <c r="AF6" i="19"/>
  <c r="N46" i="19"/>
  <c r="Z26" i="19"/>
  <c r="AL6" i="19"/>
  <c r="AL36" i="19"/>
  <c r="AF26" i="19"/>
  <c r="Z6" i="19"/>
  <c r="T26" i="19"/>
  <c r="Z46" i="19"/>
  <c r="AF46" i="19"/>
  <c r="T46" i="19"/>
  <c r="T6" i="19"/>
  <c r="AF36" i="19"/>
  <c r="N26" i="19"/>
  <c r="Z16" i="19"/>
  <c r="AL26" i="19"/>
  <c r="Z36" i="19"/>
  <c r="N36" i="19"/>
  <c r="AL46" i="19"/>
  <c r="T36" i="19"/>
  <c r="AF16" i="19"/>
  <c r="N6" i="19"/>
  <c r="N16" i="19"/>
  <c r="AE13" i="1"/>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E62" i="1"/>
  <c r="AA14" i="19"/>
  <c r="O54" i="19"/>
  <c r="U44" i="19"/>
  <c r="U43" i="19"/>
  <c r="U13" i="19"/>
  <c r="AM53" i="19"/>
  <c r="AA53" i="19"/>
  <c r="AA43" i="19"/>
  <c r="O53" i="19"/>
  <c r="O23" i="19"/>
  <c r="O13" i="19"/>
  <c r="AG43" i="19"/>
  <c r="U33" i="19"/>
  <c r="U23" i="19"/>
  <c r="AM13" i="19"/>
  <c r="AM23" i="19"/>
  <c r="AG13" i="19"/>
  <c r="AA23" i="19"/>
  <c r="AG33" i="19"/>
  <c r="AA33" i="19"/>
  <c r="AM33" i="19"/>
  <c r="AA13" i="19"/>
  <c r="AE56"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E61" i="1"/>
  <c r="AF53" i="19"/>
  <c r="T43" i="19"/>
  <c r="Z53" i="19"/>
  <c r="N43" i="19"/>
  <c r="T23" i="19"/>
  <c r="AF43" i="19"/>
  <c r="Z13" i="19"/>
  <c r="Z43" i="19"/>
  <c r="AF23" i="19"/>
  <c r="AL13" i="19"/>
  <c r="Z23" i="19"/>
  <c r="AL43" i="19"/>
  <c r="AF13" i="19"/>
  <c r="AL23" i="19"/>
  <c r="N13" i="19"/>
  <c r="T33" i="19"/>
  <c r="AL53" i="19"/>
  <c r="N23" i="19"/>
  <c r="N53" i="19"/>
  <c r="AF33" i="19"/>
  <c r="N33" i="19"/>
  <c r="AE55" i="1"/>
  <c r="T53" i="19"/>
  <c r="AL33" i="19"/>
  <c r="T13" i="19"/>
  <c r="Z33" i="19"/>
  <c r="Z47" i="19"/>
  <c r="T7" i="19"/>
  <c r="AL37" i="19"/>
  <c r="T17" i="19"/>
  <c r="Z17" i="19"/>
  <c r="AF7" i="19"/>
  <c r="AF37" i="19"/>
  <c r="N17" i="19"/>
  <c r="AF27" i="19"/>
  <c r="AE19"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E38"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E20" i="1"/>
  <c r="AA17" i="19"/>
  <c r="O7" i="19"/>
  <c r="AA37" i="19"/>
  <c r="AA27" i="19"/>
  <c r="AM27" i="19"/>
  <c r="U17" i="19"/>
  <c r="U47" i="19"/>
  <c r="AG17" i="19"/>
  <c r="O47" i="19"/>
  <c r="Z40" i="19"/>
  <c r="AE37"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<sst xmlns="http://schemas.openxmlformats.org/spreadsheetml/2006/main" count="360" uniqueCount="230">
  <si>
    <t xml:space="preserve">Referencia </t>
  </si>
  <si>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</si>
  <si>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</si>
  <si>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</si>
  <si>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</si>
  <si>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</si>
  <si>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</si>
  <si>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</si>
  <si>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</si>
  <si>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</si>
  <si>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</si>
  <si>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</si>
  <si>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</si>
  <si>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</si>
  <si>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</si>
  <si>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</si>
  <si>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</si>
  <si>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</si>
  <si>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</si>
  <si>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</si>
  <si>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</si>
  <si>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</si>
  <si>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</si>
  <si>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</si>
  <si>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</si>
  <si>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</si>
  <si>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</si>
  <si>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</si>
  <si>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</si>
  <si>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</si>
  <si>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</si>
  <si>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</si>
  <si>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</si>
  <si>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</si>
  <si>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</si>
  <si>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</si>
  <si>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</si>
  <si>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</si>
  <si>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</si>
  <si>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</si>
  <si>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</si>
  <si>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</si>
  <si>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</si>
  <si>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</si>
  <si>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</si>
  <si>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</si>
  <si>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</si>
  <si>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</si>
  <si>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</si>
  <si>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</si>
  <si>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</si>
  <si>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</si>
  <si>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</si>
  <si>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</si>
  <si>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</si>
  <si>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</si>
  <si>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</si>
  <si>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</si>
  <si>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</si>
  <si>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</si>
  <si>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</si>
  <si>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</si>
  <si>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</si>
  <si>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</si>
  <si>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</si>
  <si>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</si>
  <si>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</si>
  <si>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</si>
  <si>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</si>
  <si>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</si>
  <si>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</si>
  <si>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</si>
  <si>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</si>
  <si>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</si>
  <si>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</si>
  <si>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</si>
  <si>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</si>
  <si>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</si>
  <si>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</si>
  <si>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</si>
  <si>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</si>
  <si>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</si>
  <si>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</si>
  <si>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</si>
  <si>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</si>
  <si>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</si>
  <si>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</si>
  <si>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</si>
  <si>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</si>
  <si>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</si>
  <si>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</si>
  <si>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</si>
  <si>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</si>
  <si>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</si>
  <si>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</si>
  <si>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</si>
  <si>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</si>
  <si>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</si>
  <si>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</si>
  <si>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</si>
  <si>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</si>
  <si>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</si>
  <si>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</si>
  <si>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</si>
  <si>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</si>
  <si>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</si>
  <si>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</si>
  <si>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</si>
  <si>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</si>
  <si>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</si>
  <si>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</si>
  <si>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</si>
  <si>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</si>
  <si>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</si>
  <si>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</si>
  <si>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</si>
  <si>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</si>
  <si>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</si>
  <si>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</si>
  <si>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</si>
  <si>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</si>
  <si>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</si>
  <si>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</si>
  <si>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</si>
  <si>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</si>
  <si>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</si>
  <si>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</si>
  <si>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</si>
  <si>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</si>
  <si>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</si>
  <si>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</si>
  <si>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</si>
  <si>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</si>
  <si>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</si>
  <si>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</si>
  <si>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</si>
  <si>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</si>
  <si>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</si>
  <si>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</si>
  <si>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</si>
  <si>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</si>
  <si>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</si>
  <si>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</si>
  <si>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</si>
  <si>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</si>
  <si>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</si>
  <si>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</si>
  <si>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</si>
  <si>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</si>
  <si>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</si>
  <si>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</si>
  <si>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</si>
  <si>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</si>
  <si>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</si>
  <si>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</si>
  <si>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</si>
  <si>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</si>
  <si>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</si>
  <si>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</si>
  <si>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</si>
  <si>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</si>
  <si>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Frecuencia con la cual se lleva a cabo la actividad</t>
  </si>
  <si>
    <t>Criterios de Impacto</t>
  </si>
  <si>
    <t>Utilice la lista de despligue que se encuentra parametrizada, le aparecerán las opciones: i)Preventivo, ii)Detectivo, iii)Correctivo.</t>
  </si>
  <si>
    <t>Utilice la lista de despligue que se encuentra parametrizada, le aparecerán las opciones: i)Automático, ii)Manual.</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</si>
  <si>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</si>
  <si>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</si>
  <si>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</si>
  <si>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</si>
  <si>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</si>
  <si>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</si>
  <si>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</si>
  <si>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</si>
  <si>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</si>
  <si>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</si>
  <si>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</si>
  <si>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</si>
  <si>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</si>
  <si>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</si>
  <si>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</si>
  <si>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</si>
  <si>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</si>
  <si>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</si>
  <si>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</si>
  <si>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</si>
  <si>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</si>
  <si>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Una matriz de riesgos, es una herramienta, útil, que permite identificar los riesgos a los que se está expuesto. De esta manera, se pueden determinar los niveles aceptables de exposición a aquellos, así como establecer el control apropiado frente a los mismos y monitorear la efectividad del método de control elegido. Físicamente, es una guía visual que permite, mediante su diseño, una rápida identificación de las prioridades que deben ser atendidas para así acelerar la toma de decisiones.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t>
    </r>
    <r>
      <rPr>
        <sz val="10"/>
        <rFont val="Arial Narrow"/>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</si>
  <si>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6" tint="-0.249977111117893"/>
        <rFont val="Arial Narrow"/>
        <family val="2"/>
      </rPr>
      <t>Paso 2: identificación del riesgo</t>
    </r>
    <r>
      <rPr>
        <sz val="11"/>
        <color theme="6" tint="-0.249977111117893"/>
        <rFont val="Arial Narrow"/>
        <family val="2"/>
      </rPr>
      <t>,</t>
    </r>
    <r>
      <rPr>
        <sz val="11"/>
        <rFont val="Arial Narrow"/>
        <family val="2"/>
      </rPr>
      <t xml:space="preserve"> donde se explica ampliamente las bases para adelanter este análisis.
Así mismo, considere en el </t>
    </r>
    <r>
      <rPr>
        <b/>
        <sz val="11"/>
        <color theme="6"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6"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</si>
  <si>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rFont val="Arial Narrow"/>
        <family val="2"/>
      </rPr>
      <t>POSIBILIDAD DE + Impacto para la entidad (Qué) + Causa Inmediata (Cómo) + Causa Raíz (Por qué)</t>
    </r>
  </si>
  <si>
    <r>
      <t xml:space="preserve">Recuerde que el control se define como la medida que permite reducir o mitigar un riesgo. Defina el control (es) que atacan la causa raíz del riesgo, considere la estructura explicada en la guía: </t>
    </r>
    <r>
      <rPr>
        <b/>
        <sz val="9"/>
        <rFont val="Arial Narrow"/>
        <family val="2"/>
      </rPr>
      <t>Responsable de ejecutar el control + Acción + Complemento</t>
    </r>
  </si>
  <si>
    <t>Objetivo Estratégico</t>
  </si>
  <si>
    <t>Contexto Estrategico Interno - Enterno - Proceso</t>
  </si>
  <si>
    <r>
      <t>Utilice la lista de despligue que se encuentra parametrizada, le aparecerán las opciones:</t>
    </r>
    <r>
      <rPr>
        <b/>
        <sz val="9"/>
        <rFont val="Arial Narrow"/>
        <family val="2"/>
      </rPr>
      <t xml:space="preserve"> i)Estratégicos ii) Imagen iii) Operativos iv)Financieros v)Legal o de Cumplimiento vi) Tecnológicos vii) Fraude viii) Corrupción ix) Imparcialidad x) Confidencialidad xi) Seguridad de la información </t>
    </r>
  </si>
  <si>
    <t xml:space="preserve">Causa </t>
  </si>
  <si>
    <t>Corresponde a las razones por la cuales se puede presentar  el riesgo, redacte de la forma más concreta posible.</t>
  </si>
  <si>
    <r>
      <t xml:space="preserve">Analice las consecuencias que puede ocasionar a la organización la materialización del riesgo. El riesgo se puede clasificar en: Un </t>
    </r>
    <r>
      <rPr>
        <b/>
        <sz val="9"/>
        <rFont val="Arial Narrow"/>
        <family val="2"/>
      </rPr>
      <t>riesgo negativo</t>
    </r>
    <r>
      <rPr>
        <sz val="9"/>
        <rFont val="Arial Narrow"/>
        <family val="2"/>
      </rPr>
      <t xml:space="preserve"> es una amenaza, y cuando ocurre, se transforma en un problema. No obstante, un</t>
    </r>
    <r>
      <rPr>
        <b/>
        <sz val="9"/>
        <rFont val="Arial Narrow"/>
        <family val="2"/>
      </rPr>
      <t xml:space="preserve"> riesgo puede ser positivo</t>
    </r>
    <r>
      <rPr>
        <sz val="9"/>
        <rFont val="Arial Narrow"/>
        <family val="2"/>
      </rPr>
      <t xml:space="preserve"> al proporcionar una solución.</t>
    </r>
    <r>
      <rPr>
        <b/>
        <sz val="9"/>
        <rFont val="Arial Narrow"/>
        <family val="2"/>
      </rPr>
      <t xml:space="preserve"> </t>
    </r>
  </si>
  <si>
    <t xml:space="preserve">Permite definir unl consecutivo de riesgos.
Una entidad puede ir en el riesgo 150, pero tener 70 riesgos, lo que permite llevar una traza de los riesgos. Esta información la debe administrar la oficina  Subdireción de planeación o calidad .  Cuando un  riesgo salga del mapa no existirá otro riesgo con el mismo número. </t>
  </si>
  <si>
    <t>Identificar los Objetivo estrategico a cual afecta directamente el Riesgo</t>
  </si>
  <si>
    <t xml:space="preserve"> Descripción del Riesgo</t>
  </si>
  <si>
    <t>Riesgo</t>
  </si>
  <si>
    <t xml:space="preserve">Describir la amenaza que pueda materializarce  y afectar de manera Negativa o Positivamente su proceso </t>
  </si>
  <si>
    <t>Impacto o Consecuencia</t>
  </si>
  <si>
    <t>Contexto Estrategico Interno - Externo - Proceso</t>
  </si>
  <si>
    <r>
      <t xml:space="preserve">Identificar el contexto estrategico con el cual se relaciona directamente el riesgo. </t>
    </r>
    <r>
      <rPr>
        <b/>
        <sz val="9"/>
        <rFont val="Arial Narrow"/>
        <family val="2"/>
      </rPr>
      <t xml:space="preserve">Interno;  Externo; Proceso </t>
    </r>
    <r>
      <rPr>
        <sz val="9"/>
        <rFont val="Arial Narrow"/>
        <family val="2"/>
      </rPr>
      <t xml:space="preserve"> </t>
    </r>
  </si>
  <si>
    <r>
      <t>Defina el # de veces que se puede materializar el riesgo durante el año, (Recuerde la probabilidad u ocurrencia del riesgo se defien como el No. de veces que se pasa por el punto de riesgo en el periodo de 1 año). La matriz automáticamente hará el cálculo para el nivel de probabilidad inherente</t>
    </r>
    <r>
      <rPr>
        <sz val="9"/>
        <color theme="1"/>
        <rFont val="Arial Narrow"/>
        <family val="2"/>
      </rPr>
      <t xml:space="preserve"> (Columnas J-K)</t>
    </r>
  </si>
  <si>
    <r>
      <t>Utilice la lista de despligue que se encuentra parametrizada, le aparecerán las opciones de la tabla de Impacto en la Hoja 6 del presente documento. La matriz automáticamente hará el cálculo para el nivel de impacto inherente</t>
    </r>
    <r>
      <rPr>
        <sz val="9"/>
        <color theme="1"/>
        <rFont val="Arial Narrow"/>
        <family val="2"/>
      </rPr>
      <t xml:space="preserve"> (Columnas N-O)</t>
    </r>
  </si>
  <si>
    <r>
      <t xml:space="preserve">Teniendo en cuenta que ingresó la información de PROBABILIDAD e IMPACTO, la matriz automáticamente hará el cálculo para la zona de riesgo inherente </t>
    </r>
    <r>
      <rPr>
        <sz val="9"/>
        <color theme="1"/>
        <rFont val="Arial Narrow"/>
        <family val="2"/>
      </rPr>
      <t>(Columna P)</t>
    </r>
  </si>
  <si>
    <r>
      <t xml:space="preserve">Esta casilla no se diligencia, depende de la selección en la </t>
    </r>
    <r>
      <rPr>
        <sz val="9"/>
        <color theme="1"/>
        <rFont val="Arial Narrow"/>
        <family val="2"/>
      </rPr>
      <t>columna S.</t>
    </r>
  </si>
  <si>
    <r>
      <t>La matriz automáticamente hará el cálculo para el control analizado</t>
    </r>
    <r>
      <rPr>
        <sz val="9"/>
        <color rgb="FFFF0000"/>
        <rFont val="Arial Narrow"/>
        <family val="2"/>
      </rPr>
      <t xml:space="preserve"> </t>
    </r>
    <r>
      <rPr>
        <sz val="9"/>
        <color theme="1"/>
        <rFont val="Arial Narrow"/>
        <family val="2"/>
      </rPr>
      <t xml:space="preserve">(Columna V) </t>
    </r>
  </si>
  <si>
    <r>
      <t>La matriz automáticamente hará el cálculo, acorde con el control o controles definidos con sus atributos analizados, lo que permitirá establecer el</t>
    </r>
    <r>
      <rPr>
        <b/>
        <sz val="9"/>
        <rFont val="Arial Narrow"/>
        <family val="2"/>
      </rPr>
      <t xml:space="preserve"> nivel de riesgo inherente</t>
    </r>
    <r>
      <rPr>
        <sz val="9"/>
        <color theme="1"/>
        <rFont val="Arial Narrow"/>
        <family val="2"/>
      </rPr>
      <t xml:space="preserve"> (Columnas AA -AB- AC-AD-AE).</t>
    </r>
  </si>
  <si>
    <t>Negativo (Amenaza)</t>
  </si>
  <si>
    <t xml:space="preserve">Positivo (Oportunidad) </t>
  </si>
  <si>
    <t>Fortalecimiento del Sistema Integrado de Gestión de la Calidad y el Modelo Integrado de Planeación y Gestión.</t>
  </si>
  <si>
    <t>30/1272021</t>
  </si>
  <si>
    <r>
      <t>Objetivo:</t>
    </r>
    <r>
      <rPr>
        <sz val="10"/>
        <rFont val="Arial Narrow"/>
        <family val="2"/>
      </rPr>
      <t xml:space="preserve"> Diseñar y ejecutar las estrategias y proyectos relacionadas con la Arquitectura Empresarial TI, administración de software, sistema de redes,  seguridad de la información, soporte técnico, mantenimiento preventivo y correctivo de equipos  y backups de la información ajustados a las nuevas tecnologías de Información y la comunicación para contribuir con el cumplimiento de la misión, visión y el objeto misional del Instituto.</t>
    </r>
  </si>
  <si>
    <r>
      <t>Alcance:</t>
    </r>
    <r>
      <rPr>
        <sz val="10"/>
        <rFont val="Arial Narrow"/>
        <family val="2"/>
      </rPr>
      <t xml:space="preserve"> Inicia con el analisis, identificación y definición de la Arquitectura Empresarial y el Sistema de redes de la Entidad, ajustados a las nuevas tecnologías de la información y las comunicaciones, implementando las estrategias y proyectos, definiendo los riesgos  y haciendo seguimiento, evaluación y control del proceso de las TICs</t>
    </r>
  </si>
  <si>
    <t>Proceso: Gestion de TICS</t>
  </si>
  <si>
    <t>Tecnológicos</t>
  </si>
  <si>
    <t>Financieros: Bajo presupuesto de funcionamiento que impide el desarrollo de proyectos, TICS demoras en apropiación y ejecución de recursos
Personal: Desconocimiento de herramientas TICs
Procesos: incoherencia entre procesos establecidos y ejecutados, Desconocimiento de los procesos y procedimientos por parte de los servidores, desactualización de documentos, falta interacción
Tecnología:  falta de optimización de sistemas de gestión, falta de coordinación de necesidades de tecnología, obsolecencia de los equipos de computo, 
Políticos: Cambio de
 gobierno , Falta de continuidad en los programas establecidos, perdida del conocimiento 
EXTERNO
Tecnológicos: Falta de interoperabilidad con otros sistemas, Fallas en la infraestructura tecnológica, Fallas en la conectividad por parte del operador, fallas electricas
Medio Ambientales: humedad, clima, lluvias, electricos(UPS, polo a tierra)
Legal: Cambios legales y normativos aplicables a la Entidad y a los procesos, software ilegales.</t>
  </si>
  <si>
    <t xml:space="preserve">Posibilidad de perdida de la información por no realizar las copias de seguridad de la información oportunamente, y no contar con las herramientas adecuadas </t>
  </si>
  <si>
    <t xml:space="preserve">Realizacion inoportuna de las copias de seguridad
No contar con un cronograma de realización de copias de seguridad
Deficientes herramientas tecnologicas para almacenamiento de la información
deficiente recursos presupuestales para la gestion de Tics (adquisicion de equipos, mantenimiento correctivos, optimizacion y actualizacion tecnologica)
</t>
  </si>
  <si>
    <t xml:space="preserve">Seguridad de la información </t>
  </si>
  <si>
    <t>Copias de seguridad</t>
  </si>
  <si>
    <t>programa de mantenimiento correctivo y preventivo</t>
  </si>
  <si>
    <t>Implementacion de cronograma de copias de seguridad por dependencias</t>
  </si>
  <si>
    <t>Contratistas Gestion de TICS</t>
  </si>
  <si>
    <t>Realización de programa de mantenimientos y aplicativo de soporte tecnico a traves del sitio web</t>
  </si>
  <si>
    <t xml:space="preserve">Debido a la realización de atención de necesidades de servicios tecnológicos fuera de los tiempos requeridos. </t>
  </si>
  <si>
    <t xml:space="preserve">Se realizo capacitación de ciberseguridad a los funcionarios del instituto, medidas preventivas de navegación, aparte de eso
En cada uno de los equipos esta instalado un antivirus licenciado, la cual protege la información y la navegación por red del usuario
</t>
  </si>
  <si>
    <t>Los mantenimientos se han realizado con forma a lo estipulado en el plan de mantenimiento, (informe reposa en fichas Técnicas) Las licencias de antivirus son renovada anualmente, actualmente contamos con licenciamiento hasta el marzo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</si>
</sst>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11"/>
      <color theme="6" tint="-0.249977111117893"/>
      <name val="Arial Narrow"/>
      <family val="2"/>
    </font>
    <font>
      <sz val="11"/>
      <color theme="6" tint="-0.249977111117893"/>
      <name val="Arial Narrow"/>
      <family val="2"/>
    </font>
    <font>
      <b/>
      <sz val="10"/>
      <color theme="6" tint="-0.249977111117893"/>
      <name val="Arial Narrow"/>
      <family val="2"/>
    </font>
    <font>
      <sz val="9"/>
      <color rgb="FFFF0000"/>
      <name val="Arial Narrow"/>
      <family val="2"/>
    </font>
    <font>
      <sz val="10"/>
      <color rgb="FFFF0000"/>
      <name val="Arial Narrow"/>
      <family val="2"/>
    </font>
    <font>
      <sz val="9"/>
      <color theme="1"/>
      <name val="Arial Narrow"/>
      <family val="2"/>
    </font>
    <font>
      <sz val="8"/>
      <name val="Calibri"/>
      <family val="2"/>
      <scheme val="minor"/>
    </font>
    <font>
      <sz val="22"/>
      <name val="Arial Narrow"/>
      <family val="2"/>
    </font>
  </fonts>
  <fills count="1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39997558519241921"/>
        <bgColor indexed="64"/>
      </patternFill>
    </fill>
  </fills>
  <borders count="69">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theme="6" tint="-0.249977111117893"/>
      </left>
      <right style="hair">
        <color theme="6" tint="-0.249977111117893"/>
      </right>
      <top style="hair">
        <color theme="6" tint="-0.249977111117893"/>
      </top>
      <bottom style="hair">
        <color theme="6" tint="-0.249977111117893"/>
      </bottom>
      <diagonal/>
    </border>
    <border>
      <left style="hair">
        <color theme="6" tint="-0.249977111117893"/>
      </left>
      <right style="hair">
        <color theme="6" tint="-0.249977111117893"/>
      </right>
      <top style="hair">
        <color theme="6" tint="-0.249977111117893"/>
      </top>
      <bottom/>
      <diagonal/>
    </border>
    <border>
      <left style="hair">
        <color theme="6" tint="-0.249977111117893"/>
      </left>
      <right style="hair">
        <color theme="6" tint="-0.249977111117893"/>
      </right>
      <top/>
      <bottom style="hair">
        <color theme="6" tint="-0.249977111117893"/>
      </bottom>
      <diagonal/>
    </border>
    <border>
      <left style="hair">
        <color theme="6" tint="-0.249977111117893"/>
      </left>
      <right style="hair">
        <color theme="6" tint="-0.249977111117893"/>
      </right>
      <top/>
      <bottom/>
      <diagonal/>
    </border>
    <border>
      <left/>
      <right style="hair">
        <color theme="6" tint="-0.249977111117893"/>
      </right>
      <top style="hair">
        <color theme="6" tint="-0.249977111117893"/>
      </top>
      <bottom style="hair">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3" fillId="0" borderId="0" applyFont="0" applyFill="0" applyBorder="0" applyAlignment="0" applyProtection="0"/>
    <xf numFmtId="0" fontId="46" fillId="0" borderId="0"/>
    <xf numFmtId="0" fontId="47" fillId="0" borderId="0"/>
    <xf numFmtId="0" fontId="5" fillId="0" borderId="0"/>
  </cellStyleXfs>
  <cellXfs count="391">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2" xfId="0" applyFont="1" applyFill="1" applyBorder="1" applyAlignment="1">
      <alignment horizontal="center" vertical="center" wrapText="1" readingOrder="1"/>
    </xf>
    <xf numFmtId="0" fontId="9" fillId="0" borderId="2" xfId="0" applyFont="1" applyBorder="1" applyAlignment="1">
      <alignment horizontal="justify" vertical="center" wrapText="1" readingOrder="1"/>
    </xf>
    <xf numFmtId="9" fontId="9" fillId="0" borderId="2"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1"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2"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2"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2"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8" fillId="3" borderId="37" xfId="2" applyFont="1" applyFill="1" applyBorder="1" applyProtection="1"/>
    <xf numFmtId="0" fontId="48" fillId="3" borderId="38" xfId="2" applyFont="1" applyFill="1" applyBorder="1" applyProtection="1"/>
    <xf numFmtId="0" fontId="48" fillId="3" borderId="39" xfId="2" applyFont="1" applyFill="1" applyBorder="1" applyProtection="1"/>
    <xf numFmtId="0" fontId="15" fillId="3" borderId="0" xfId="0" applyFont="1" applyFill="1" applyAlignment="1">
      <alignment vertical="center"/>
    </xf>
    <xf numFmtId="0" fontId="5" fillId="3" borderId="0" xfId="0" applyFont="1" applyFill="1"/>
    <xf numFmtId="0" fontId="35" fillId="3" borderId="0" xfId="0" applyFont="1" applyFill="1"/>
    <xf numFmtId="0" fontId="36" fillId="3" borderId="20" xfId="0" applyFont="1" applyFill="1" applyBorder="1" applyAlignment="1">
      <alignment horizontal="center" vertical="center" wrapText="1" readingOrder="1"/>
    </xf>
    <xf numFmtId="0" fontId="37" fillId="3" borderId="20" xfId="0" applyFont="1" applyFill="1" applyBorder="1" applyAlignment="1">
      <alignment horizontal="justify" vertical="center" wrapText="1" readingOrder="1"/>
    </xf>
    <xf numFmtId="9" fontId="36" fillId="3" borderId="29" xfId="0" applyNumberFormat="1"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7" fillId="3" borderId="19" xfId="0" applyFont="1" applyFill="1" applyBorder="1" applyAlignment="1">
      <alignment horizontal="justify" vertical="center" wrapText="1" readingOrder="1"/>
    </xf>
    <xf numFmtId="9" fontId="36" fillId="3" borderId="24" xfId="0" applyNumberFormat="1"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7" fillId="3" borderId="26" xfId="0" applyFont="1" applyFill="1" applyBorder="1" applyAlignment="1">
      <alignment horizontal="justify" vertical="center" wrapText="1" readingOrder="1"/>
    </xf>
    <xf numFmtId="0" fontId="37" fillId="3" borderId="27" xfId="0" applyFont="1" applyFill="1" applyBorder="1" applyAlignment="1">
      <alignment horizontal="center" vertical="center" wrapText="1" readingOrder="1"/>
    </xf>
    <xf numFmtId="0" fontId="45" fillId="3" borderId="0" xfId="0" applyFont="1" applyFill="1"/>
    <xf numFmtId="0" fontId="12" fillId="3" borderId="0" xfId="0" applyFont="1" applyFill="1"/>
    <xf numFmtId="0" fontId="30" fillId="3" borderId="0" xfId="0" applyFont="1" applyFill="1" applyAlignment="1">
      <alignment horizontal="center" vertical="center" wrapText="1"/>
    </xf>
    <xf numFmtId="0" fontId="11" fillId="3" borderId="0" xfId="0" applyFont="1" applyFill="1" applyBorder="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8" fillId="3" borderId="5"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6" xfId="2" applyFont="1" applyFill="1" applyBorder="1" applyProtection="1"/>
    <xf numFmtId="0" fontId="48" fillId="3" borderId="7" xfId="2" applyFont="1" applyFill="1" applyBorder="1" applyProtection="1"/>
    <xf numFmtId="0" fontId="48" fillId="3" borderId="9" xfId="2" applyFont="1" applyFill="1" applyBorder="1" applyProtection="1"/>
    <xf numFmtId="0" fontId="48" fillId="3" borderId="8"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6" xfId="2" applyFont="1" applyFill="1" applyBorder="1" applyAlignment="1" applyProtection="1"/>
    <xf numFmtId="0" fontId="50" fillId="3" borderId="5"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6" xfId="2" quotePrefix="1" applyFont="1" applyFill="1" applyBorder="1" applyAlignment="1" applyProtection="1">
      <alignment horizontal="left" vertical="top" wrapText="1"/>
    </xf>
    <xf numFmtId="0" fontId="1" fillId="3" borderId="61" xfId="0" applyFont="1" applyFill="1" applyBorder="1"/>
    <xf numFmtId="0" fontId="1" fillId="0" borderId="61" xfId="0" applyFont="1" applyBorder="1"/>
    <xf numFmtId="0" fontId="4" fillId="3" borderId="61" xfId="0" applyFont="1" applyFill="1" applyBorder="1" applyAlignment="1">
      <alignment horizontal="center" vertical="center"/>
    </xf>
    <xf numFmtId="0" fontId="4" fillId="2" borderId="61" xfId="0" applyFont="1" applyFill="1" applyBorder="1" applyAlignment="1">
      <alignment horizontal="center" vertical="center"/>
    </xf>
    <xf numFmtId="0" fontId="1" fillId="0" borderId="61" xfId="0" applyFont="1" applyBorder="1" applyAlignment="1" applyProtection="1">
      <alignment horizontal="center" vertical="center"/>
    </xf>
    <xf numFmtId="0" fontId="6" fillId="0" borderId="61" xfId="0" applyFont="1" applyBorder="1" applyAlignment="1" applyProtection="1">
      <alignment horizontal="justify" vertical="center" wrapText="1"/>
      <protection locked="0"/>
    </xf>
    <xf numFmtId="0" fontId="1"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textRotation="90"/>
      <protection locked="0"/>
    </xf>
    <xf numFmtId="9" fontId="1" fillId="0" borderId="61" xfId="0" applyNumberFormat="1" applyFont="1" applyBorder="1" applyAlignment="1" applyProtection="1">
      <alignment horizontal="center" vertical="center"/>
      <protection hidden="1"/>
    </xf>
    <xf numFmtId="164" fontId="1" fillId="0" borderId="61" xfId="1" applyNumberFormat="1" applyFont="1" applyBorder="1" applyAlignment="1">
      <alignment horizontal="center" vertical="center"/>
    </xf>
    <xf numFmtId="0" fontId="4" fillId="0" borderId="61" xfId="0" applyFont="1" applyFill="1" applyBorder="1" applyAlignment="1" applyProtection="1">
      <alignment horizontal="center" vertical="center" textRotation="90" wrapText="1"/>
      <protection hidden="1"/>
    </xf>
    <xf numFmtId="0" fontId="4" fillId="0" borderId="61" xfId="0" applyFont="1" applyBorder="1" applyAlignment="1" applyProtection="1">
      <alignment horizontal="center" vertical="center" textRotation="90"/>
      <protection hidden="1"/>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14" fontId="1" fillId="0" borderId="61" xfId="0" applyNumberFormat="1" applyFont="1" applyBorder="1" applyAlignment="1" applyProtection="1">
      <alignment horizontal="center" vertical="center"/>
      <protection locked="0"/>
    </xf>
    <xf numFmtId="0" fontId="1" fillId="3" borderId="61" xfId="0" applyFont="1" applyFill="1" applyBorder="1" applyAlignment="1">
      <alignment vertical="center"/>
    </xf>
    <xf numFmtId="0" fontId="1" fillId="0" borderId="61" xfId="0" applyFont="1" applyBorder="1" applyAlignment="1">
      <alignment vertical="center"/>
    </xf>
    <xf numFmtId="0" fontId="1" fillId="0" borderId="61" xfId="0" applyFont="1" applyBorder="1" applyAlignment="1" applyProtection="1">
      <alignment horizontal="justify" vertical="center"/>
      <protection locked="0"/>
    </xf>
    <xf numFmtId="164" fontId="1" fillId="9" borderId="61" xfId="1" applyNumberFormat="1" applyFont="1" applyFill="1" applyBorder="1" applyAlignment="1">
      <alignment horizontal="center" vertical="center"/>
    </xf>
    <xf numFmtId="0" fontId="1" fillId="0" borderId="61" xfId="0" applyFont="1" applyBorder="1" applyAlignment="1">
      <alignment horizontal="center" vertical="center"/>
    </xf>
    <xf numFmtId="0" fontId="1" fillId="0" borderId="61" xfId="0" applyFont="1" applyBorder="1" applyAlignment="1">
      <alignment horizontal="center"/>
    </xf>
    <xf numFmtId="0" fontId="4" fillId="14" borderId="61" xfId="0" applyFont="1" applyFill="1" applyBorder="1" applyAlignment="1">
      <alignment horizontal="center" vertical="center" textRotation="90"/>
    </xf>
    <xf numFmtId="0" fontId="1" fillId="0" borderId="62" xfId="0" applyFont="1" applyBorder="1" applyAlignment="1">
      <alignment horizontal="center" vertical="center"/>
    </xf>
    <xf numFmtId="0" fontId="1" fillId="0" borderId="62" xfId="0" applyFont="1" applyBorder="1"/>
    <xf numFmtId="0" fontId="1" fillId="0" borderId="62" xfId="0" applyFont="1" applyBorder="1" applyAlignment="1">
      <alignment horizontal="center"/>
    </xf>
    <xf numFmtId="0" fontId="1" fillId="0" borderId="63" xfId="0" applyFont="1" applyBorder="1" applyAlignment="1">
      <alignment horizontal="center" vertical="center"/>
    </xf>
    <xf numFmtId="0" fontId="1" fillId="0" borderId="63" xfId="0" applyFont="1" applyBorder="1"/>
    <xf numFmtId="0" fontId="1" fillId="0" borderId="63" xfId="0" applyFont="1" applyBorder="1" applyAlignment="1">
      <alignment horizontal="center"/>
    </xf>
    <xf numFmtId="0" fontId="36" fillId="14" borderId="31" xfId="0" applyFont="1" applyFill="1" applyBorder="1" applyAlignment="1">
      <alignment horizontal="center" vertical="center" wrapText="1" readingOrder="1"/>
    </xf>
    <xf numFmtId="0" fontId="36" fillId="14" borderId="32" xfId="0" applyFont="1" applyFill="1" applyBorder="1" applyAlignment="1">
      <alignment horizontal="center" vertical="center" wrapText="1" readingOrder="1"/>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Continuous"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9" fillId="3" borderId="0" xfId="2" applyFont="1" applyFill="1" applyBorder="1" applyProtection="1"/>
    <xf numFmtId="0" fontId="59" fillId="3" borderId="0" xfId="2" applyFont="1" applyFill="1" applyBorder="1" applyAlignment="1" applyProtection="1">
      <alignment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left" vertical="center" wrapText="1"/>
      <protection locked="0"/>
    </xf>
    <xf numFmtId="0" fontId="1" fillId="3" borderId="63" xfId="0" applyFont="1" applyFill="1" applyBorder="1" applyAlignment="1">
      <alignment horizontal="center" vertical="center"/>
    </xf>
    <xf numFmtId="0" fontId="1" fillId="3" borderId="63" xfId="0" applyFont="1" applyFill="1" applyBorder="1"/>
    <xf numFmtId="0" fontId="1" fillId="3" borderId="63" xfId="0" applyFont="1" applyFill="1" applyBorder="1" applyAlignment="1">
      <alignment horizontal="center"/>
    </xf>
    <xf numFmtId="0" fontId="1" fillId="3" borderId="65" xfId="0" applyFont="1" applyFill="1" applyBorder="1"/>
    <xf numFmtId="0" fontId="48" fillId="3" borderId="5"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6" xfId="2" applyFont="1" applyFill="1" applyBorder="1" applyAlignment="1" applyProtection="1">
      <alignment horizontal="left" vertical="top" wrapText="1"/>
    </xf>
    <xf numFmtId="0" fontId="54" fillId="3" borderId="50" xfId="2" applyFont="1" applyFill="1" applyBorder="1" applyAlignment="1" applyProtection="1">
      <alignment horizontal="justify" vertical="center" wrapText="1"/>
    </xf>
    <xf numFmtId="0" fontId="54" fillId="3" borderId="51" xfId="2" applyFont="1" applyFill="1" applyBorder="1" applyAlignment="1" applyProtection="1">
      <alignment horizontal="justify" vertical="center" wrapText="1"/>
    </xf>
    <xf numFmtId="0" fontId="53" fillId="3" borderId="57" xfId="0" applyFont="1" applyFill="1" applyBorder="1" applyAlignment="1" applyProtection="1">
      <alignment horizontal="left" vertical="center" wrapText="1"/>
    </xf>
    <xf numFmtId="0" fontId="53" fillId="3" borderId="58" xfId="0" applyFont="1" applyFill="1" applyBorder="1" applyAlignment="1" applyProtection="1">
      <alignment horizontal="left" vertical="center" wrapText="1"/>
    </xf>
    <xf numFmtId="0" fontId="53" fillId="3" borderId="48" xfId="0" applyFont="1" applyFill="1" applyBorder="1" applyAlignment="1" applyProtection="1">
      <alignment horizontal="left" vertical="center" wrapText="1"/>
    </xf>
    <xf numFmtId="0" fontId="53" fillId="3" borderId="49" xfId="0" applyFont="1" applyFill="1" applyBorder="1" applyAlignment="1" applyProtection="1">
      <alignment horizontal="left" vertical="center"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4" fillId="3" borderId="52" xfId="0" applyFont="1" applyFill="1" applyBorder="1" applyAlignment="1" applyProtection="1">
      <alignment horizontal="justify" vertical="center" wrapText="1"/>
    </xf>
    <xf numFmtId="0" fontId="54" fillId="3" borderId="53" xfId="0" applyFont="1" applyFill="1" applyBorder="1" applyAlignment="1" applyProtection="1">
      <alignment horizontal="justify" vertical="center" wrapText="1"/>
    </xf>
    <xf numFmtId="0" fontId="54" fillId="3" borderId="50" xfId="2" applyFont="1" applyFill="1" applyBorder="1" applyAlignment="1" applyProtection="1">
      <alignment horizontal="left" vertical="center" wrapText="1"/>
    </xf>
    <xf numFmtId="0" fontId="54" fillId="3" borderId="51" xfId="2" applyFont="1" applyFill="1" applyBorder="1" applyAlignment="1" applyProtection="1">
      <alignment horizontal="left" vertical="center" wrapText="1"/>
    </xf>
    <xf numFmtId="0" fontId="49" fillId="14" borderId="34" xfId="2" applyFont="1" applyFill="1" applyBorder="1" applyAlignment="1" applyProtection="1">
      <alignment horizontal="center" vertical="center" wrapText="1"/>
    </xf>
    <xf numFmtId="0" fontId="49" fillId="14" borderId="35" xfId="2" applyFont="1" applyFill="1" applyBorder="1" applyAlignment="1" applyProtection="1">
      <alignment horizontal="center" vertical="center" wrapText="1"/>
    </xf>
    <xf numFmtId="0" fontId="49" fillId="14" borderId="36" xfId="2" applyFont="1" applyFill="1" applyBorder="1" applyAlignment="1" applyProtection="1">
      <alignment horizontal="center" vertical="center" wrapText="1"/>
    </xf>
    <xf numFmtId="0" fontId="48" fillId="0" borderId="5"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6" xfId="2" quotePrefix="1" applyFont="1" applyBorder="1" applyAlignment="1" applyProtection="1">
      <alignment horizontal="left" vertical="center" wrapText="1"/>
    </xf>
    <xf numFmtId="0" fontId="48" fillId="0" borderId="54" xfId="2" quotePrefix="1" applyFont="1" applyBorder="1" applyAlignment="1" applyProtection="1">
      <alignment horizontal="left" vertical="center" wrapText="1"/>
    </xf>
    <xf numFmtId="0" fontId="48" fillId="0" borderId="55"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50" fillId="3" borderId="37" xfId="2" quotePrefix="1" applyFont="1" applyFill="1" applyBorder="1" applyAlignment="1" applyProtection="1">
      <alignment horizontal="left" vertical="top" wrapText="1"/>
    </xf>
    <xf numFmtId="0" fontId="51" fillId="3" borderId="38" xfId="2" quotePrefix="1" applyFont="1" applyFill="1" applyBorder="1" applyAlignment="1" applyProtection="1">
      <alignment horizontal="left" vertical="top" wrapText="1"/>
    </xf>
    <xf numFmtId="0" fontId="51" fillId="3" borderId="39" xfId="2" quotePrefix="1" applyFont="1" applyFill="1" applyBorder="1" applyAlignment="1" applyProtection="1">
      <alignment horizontal="left" vertical="top" wrapText="1"/>
    </xf>
    <xf numFmtId="0" fontId="48" fillId="0" borderId="5"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6" xfId="2" quotePrefix="1" applyFont="1" applyBorder="1" applyAlignment="1" applyProtection="1">
      <alignment horizontal="left" vertical="top" wrapText="1"/>
    </xf>
    <xf numFmtId="0" fontId="53" fillId="14" borderId="40" xfId="3" applyFont="1" applyFill="1" applyBorder="1" applyAlignment="1" applyProtection="1">
      <alignment horizontal="center" vertical="center" wrapText="1"/>
    </xf>
    <xf numFmtId="0" fontId="53" fillId="14" borderId="41" xfId="3" applyFont="1" applyFill="1" applyBorder="1" applyAlignment="1" applyProtection="1">
      <alignment horizontal="center" vertical="center" wrapText="1"/>
    </xf>
    <xf numFmtId="0" fontId="53" fillId="14" borderId="42" xfId="2" applyFont="1" applyFill="1" applyBorder="1" applyAlignment="1" applyProtection="1">
      <alignment horizontal="center" vertical="center"/>
    </xf>
    <xf numFmtId="0" fontId="53"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0" fontId="53" fillId="3" borderId="44" xfId="3" applyFont="1" applyFill="1" applyBorder="1" applyAlignment="1" applyProtection="1">
      <alignment horizontal="left" vertical="top" wrapText="1" readingOrder="1"/>
    </xf>
    <xf numFmtId="0" fontId="53" fillId="3" borderId="45" xfId="3" applyFont="1" applyFill="1" applyBorder="1" applyAlignment="1" applyProtection="1">
      <alignment horizontal="left" vertical="top" wrapText="1" readingOrder="1"/>
    </xf>
    <xf numFmtId="0" fontId="54" fillId="3" borderId="46" xfId="2" applyFont="1" applyFill="1" applyBorder="1" applyAlignment="1" applyProtection="1">
      <alignment horizontal="justify" vertical="center" wrapText="1"/>
    </xf>
    <xf numFmtId="0" fontId="54" fillId="3" borderId="47" xfId="2" applyFont="1" applyFill="1" applyBorder="1" applyAlignment="1" applyProtection="1">
      <alignment horizontal="justify"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3" fillId="3" borderId="57" xfId="3" applyFont="1" applyFill="1" applyBorder="1" applyAlignment="1" applyProtection="1">
      <alignment horizontal="left" vertical="center" wrapText="1" readingOrder="1"/>
    </xf>
    <xf numFmtId="0" fontId="53" fillId="3" borderId="58" xfId="3" applyFont="1" applyFill="1" applyBorder="1" applyAlignment="1" applyProtection="1">
      <alignment horizontal="left" vertical="center" wrapText="1" readingOrder="1"/>
    </xf>
    <xf numFmtId="0" fontId="4" fillId="0" borderId="61" xfId="0" applyFont="1" applyFill="1" applyBorder="1" applyAlignment="1" applyProtection="1">
      <alignment horizontal="center" vertical="center" wrapText="1"/>
      <protection hidden="1"/>
    </xf>
    <xf numFmtId="9" fontId="1" fillId="0" borderId="61" xfId="0" applyNumberFormat="1" applyFont="1" applyBorder="1" applyAlignment="1" applyProtection="1">
      <alignment horizontal="center" vertical="center" wrapText="1"/>
      <protection hidden="1"/>
    </xf>
    <xf numFmtId="0" fontId="4" fillId="0" borderId="61" xfId="0" applyFont="1" applyBorder="1" applyAlignment="1" applyProtection="1">
      <alignment horizontal="center" vertical="center"/>
      <protection hidden="1"/>
    </xf>
    <xf numFmtId="9" fontId="1" fillId="0" borderId="61" xfId="0" applyNumberFormat="1"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0" fontId="2" fillId="0" borderId="62" xfId="0" applyFont="1" applyBorder="1" applyAlignment="1" applyProtection="1">
      <alignment horizontal="center" vertical="center" wrapText="1"/>
      <protection locked="0"/>
    </xf>
    <xf numFmtId="0" fontId="2" fillId="0" borderId="64" xfId="0" applyFont="1" applyBorder="1" applyAlignment="1" applyProtection="1">
      <alignment horizontal="center" vertical="center" wrapText="1"/>
      <protection locked="0"/>
    </xf>
    <xf numFmtId="0" fontId="2" fillId="0" borderId="63"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4" fillId="14" borderId="61" xfId="0" applyFont="1" applyFill="1" applyBorder="1" applyAlignment="1">
      <alignment horizontal="center" vertical="center"/>
    </xf>
    <xf numFmtId="0" fontId="1" fillId="0" borderId="62" xfId="0" applyFont="1" applyBorder="1" applyAlignment="1" applyProtection="1">
      <alignment horizontal="center" vertical="center"/>
    </xf>
    <xf numFmtId="0" fontId="1" fillId="0" borderId="64" xfId="0" applyFont="1" applyBorder="1" applyAlignment="1" applyProtection="1">
      <alignment horizontal="center" vertical="center"/>
    </xf>
    <xf numFmtId="0" fontId="1" fillId="0" borderId="63" xfId="0" applyFont="1" applyBorder="1" applyAlignment="1" applyProtection="1">
      <alignment horizontal="center" vertical="center"/>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 vertical="center" textRotation="90" wrapText="1"/>
    </xf>
    <xf numFmtId="0" fontId="1" fillId="0" borderId="62" xfId="0" applyFont="1" applyBorder="1" applyAlignment="1" applyProtection="1">
      <alignment horizontal="left" vertical="top" wrapText="1"/>
    </xf>
    <xf numFmtId="0" fontId="1" fillId="0" borderId="64" xfId="0" applyFont="1" applyBorder="1" applyAlignment="1" applyProtection="1">
      <alignment horizontal="left" vertical="top" wrapText="1"/>
    </xf>
    <xf numFmtId="0" fontId="1" fillId="0" borderId="63" xfId="0" applyFont="1" applyBorder="1" applyAlignment="1" applyProtection="1">
      <alignment horizontal="left" vertical="top" wrapText="1"/>
    </xf>
    <xf numFmtId="0" fontId="1" fillId="0" borderId="62" xfId="0" applyFont="1" applyBorder="1" applyAlignment="1" applyProtection="1">
      <alignment horizontal="center" vertical="center" wrapText="1"/>
    </xf>
    <xf numFmtId="0" fontId="1" fillId="0" borderId="64"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1" fillId="0" borderId="62" xfId="0" applyFont="1" applyBorder="1" applyAlignment="1" applyProtection="1">
      <alignment horizontal="left" vertical="center" wrapText="1"/>
    </xf>
    <xf numFmtId="0" fontId="1" fillId="0" borderId="64" xfId="0" applyFont="1" applyBorder="1" applyAlignment="1" applyProtection="1">
      <alignment horizontal="left" vertical="center" wrapText="1"/>
    </xf>
    <xf numFmtId="0" fontId="1" fillId="0" borderId="63" xfId="0" applyFont="1" applyBorder="1" applyAlignment="1" applyProtection="1">
      <alignment horizontal="left" vertical="center" wrapText="1"/>
    </xf>
    <xf numFmtId="0" fontId="62" fillId="14" borderId="66" xfId="0" applyFont="1" applyFill="1" applyBorder="1" applyAlignment="1">
      <alignment horizontal="center" vertical="center" wrapText="1"/>
    </xf>
    <xf numFmtId="0" fontId="62" fillId="14" borderId="67" xfId="0" applyFont="1" applyFill="1" applyBorder="1" applyAlignment="1">
      <alignment horizontal="center" vertical="center" wrapText="1"/>
    </xf>
    <xf numFmtId="0" fontId="62" fillId="14" borderId="68" xfId="0" applyFont="1" applyFill="1" applyBorder="1" applyAlignment="1">
      <alignment horizontal="center" vertical="center" wrapText="1"/>
    </xf>
    <xf numFmtId="0" fontId="52" fillId="14" borderId="66" xfId="0" applyFont="1" applyFill="1" applyBorder="1" applyAlignment="1">
      <alignment horizontal="left" vertical="center" wrapText="1"/>
    </xf>
    <xf numFmtId="0" fontId="52" fillId="14" borderId="67" xfId="0" applyFont="1" applyFill="1" applyBorder="1" applyAlignment="1">
      <alignment horizontal="left" vertical="center" wrapText="1"/>
    </xf>
    <xf numFmtId="0" fontId="52" fillId="14" borderId="68" xfId="0" applyFont="1" applyFill="1" applyBorder="1" applyAlignment="1">
      <alignment horizontal="left" vertical="center" wrapText="1"/>
    </xf>
    <xf numFmtId="0" fontId="4" fillId="14" borderId="62" xfId="0" applyFont="1" applyFill="1" applyBorder="1" applyAlignment="1">
      <alignment horizontal="center" vertical="center" wrapText="1"/>
    </xf>
    <xf numFmtId="0" fontId="4" fillId="14" borderId="63" xfId="0" applyFont="1" applyFill="1" applyBorder="1" applyAlignment="1">
      <alignment horizontal="center" vertical="center" wrapText="1"/>
    </xf>
    <xf numFmtId="0" fontId="1" fillId="0" borderId="61" xfId="0" applyFont="1" applyBorder="1" applyAlignment="1">
      <alignment horizontal="left"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41" fillId="11" borderId="11" xfId="0" applyFont="1" applyFill="1" applyBorder="1" applyAlignment="1">
      <alignment horizontal="center" vertical="center" wrapText="1" readingOrder="1"/>
    </xf>
    <xf numFmtId="0" fontId="41" fillId="11" borderId="12" xfId="0" applyFont="1" applyFill="1" applyBorder="1" applyAlignment="1">
      <alignment horizontal="center" vertical="center" wrapText="1" readingOrder="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2" fillId="0" borderId="3" xfId="0" applyFont="1" applyBorder="1" applyAlignment="1">
      <alignment horizontal="center" vertical="center" wrapText="1"/>
    </xf>
    <xf numFmtId="0" fontId="42" fillId="0" borderId="10" xfId="0" applyFont="1" applyBorder="1" applyAlignment="1">
      <alignment horizontal="center" vertical="center"/>
    </xf>
    <xf numFmtId="0" fontId="42" fillId="0" borderId="5" xfId="0" applyFont="1" applyBorder="1" applyAlignment="1">
      <alignment horizontal="center" vertical="center" wrapText="1"/>
    </xf>
    <xf numFmtId="0" fontId="42" fillId="0" borderId="0"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1" fillId="12" borderId="11" xfId="0" applyFont="1" applyFill="1" applyBorder="1" applyAlignment="1">
      <alignment horizontal="center" vertical="center" wrapText="1" readingOrder="1"/>
    </xf>
    <xf numFmtId="0" fontId="41" fillId="12" borderId="12" xfId="0" applyFont="1" applyFill="1" applyBorder="1" applyAlignment="1">
      <alignment horizontal="center" vertical="center" wrapText="1" readingOrder="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0" fillId="0" borderId="0" xfId="0" applyFont="1" applyAlignment="1">
      <alignment horizontal="center" vertical="center" wrapText="1"/>
    </xf>
    <xf numFmtId="0" fontId="21" fillId="0" borderId="0" xfId="0" applyFont="1" applyAlignment="1">
      <alignment horizontal="center" vertical="center" wrapText="1"/>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1" fillId="5" borderId="11" xfId="0" applyFont="1" applyFill="1" applyBorder="1" applyAlignment="1">
      <alignment horizontal="center" vertical="center" wrapText="1" readingOrder="1"/>
    </xf>
    <xf numFmtId="0" fontId="41" fillId="5" borderId="12" xfId="0" applyFont="1" applyFill="1" applyBorder="1" applyAlignment="1">
      <alignment horizontal="center" vertical="center" wrapText="1" readingOrder="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13" borderId="11" xfId="0" applyFont="1" applyFill="1" applyBorder="1" applyAlignment="1">
      <alignment horizontal="center" vertical="center" wrapText="1" readingOrder="1"/>
    </xf>
    <xf numFmtId="0" fontId="41" fillId="13" borderId="12"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2" fillId="0" borderId="10" xfId="0" applyFont="1" applyBorder="1" applyAlignment="1">
      <alignment horizontal="center" vertical="center" wrapText="1"/>
    </xf>
    <xf numFmtId="0" fontId="23" fillId="0" borderId="0" xfId="0" applyFont="1" applyAlignment="1">
      <alignment horizontal="center" vertical="center"/>
    </xf>
    <xf numFmtId="0" fontId="44" fillId="0" borderId="0" xfId="0" applyFont="1" applyAlignment="1">
      <alignment horizontal="center" vertical="center"/>
    </xf>
    <xf numFmtId="0" fontId="39" fillId="14" borderId="21" xfId="0" applyFont="1" applyFill="1" applyBorder="1" applyAlignment="1">
      <alignment horizontal="center" vertical="center" wrapText="1" readingOrder="1"/>
    </xf>
    <xf numFmtId="0" fontId="39" fillId="14" borderId="22" xfId="0" applyFont="1" applyFill="1" applyBorder="1" applyAlignment="1">
      <alignment horizontal="center" vertical="center" wrapText="1" readingOrder="1"/>
    </xf>
    <xf numFmtId="0" fontId="39" fillId="14" borderId="33"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4" borderId="30" xfId="0" applyFont="1" applyFill="1" applyBorder="1" applyAlignment="1">
      <alignment horizontal="center" vertical="center" wrapText="1" readingOrder="1"/>
    </xf>
    <xf numFmtId="0" fontId="36" fillId="14" borderId="3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6" fillId="3" borderId="23" xfId="0" applyFont="1" applyFill="1" applyBorder="1" applyAlignment="1">
      <alignment horizontal="center" vertical="center" wrapText="1" readingOrder="1"/>
    </xf>
    <xf numFmtId="0" fontId="36" fillId="3" borderId="20" xfId="0"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47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44"/>
  <sheetViews>
    <sheetView topLeftCell="A31" zoomScale="98" zoomScaleNormal="98" workbookViewId="0">
      <selection activeCell="E22" sqref="E22:F22"/>
    </sheetView>
  </sheetViews>
  <sheetFormatPr baseColWidth="10" defaultColWidth="11.42578125" defaultRowHeight="15" x14ac:dyDescent="0.25"/>
  <cols>
    <col min="1" max="1" width="2.85546875" style="70" customWidth="1"/>
    <col min="2" max="2" width="32.5703125" style="70" customWidth="1"/>
    <col min="3" max="3" width="28.42578125" style="70" customWidth="1"/>
    <col min="4" max="4" width="19.7109375" style="70" customWidth="1"/>
    <col min="5" max="5" width="31.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70" t="s">
        <v>159</v>
      </c>
      <c r="C2" s="171"/>
      <c r="D2" s="171"/>
      <c r="E2" s="171"/>
      <c r="F2" s="171"/>
      <c r="G2" s="171"/>
      <c r="H2" s="172"/>
    </row>
    <row r="3" spans="2:8" x14ac:dyDescent="0.25">
      <c r="B3" s="71"/>
      <c r="C3" s="72"/>
      <c r="D3" s="72"/>
      <c r="E3" s="72"/>
      <c r="F3" s="72"/>
      <c r="G3" s="72"/>
      <c r="H3" s="73"/>
    </row>
    <row r="4" spans="2:8" ht="63" customHeight="1" x14ac:dyDescent="0.25">
      <c r="B4" s="173" t="s">
        <v>186</v>
      </c>
      <c r="C4" s="174"/>
      <c r="D4" s="174"/>
      <c r="E4" s="174"/>
      <c r="F4" s="174"/>
      <c r="G4" s="174"/>
      <c r="H4" s="175"/>
    </row>
    <row r="5" spans="2:8" ht="63" customHeight="1" x14ac:dyDescent="0.25">
      <c r="B5" s="176"/>
      <c r="C5" s="177"/>
      <c r="D5" s="177"/>
      <c r="E5" s="177"/>
      <c r="F5" s="177"/>
      <c r="G5" s="177"/>
      <c r="H5" s="178"/>
    </row>
    <row r="6" spans="2:8" ht="16.5" x14ac:dyDescent="0.25">
      <c r="B6" s="179" t="s">
        <v>157</v>
      </c>
      <c r="C6" s="180"/>
      <c r="D6" s="180"/>
      <c r="E6" s="180"/>
      <c r="F6" s="180"/>
      <c r="G6" s="180"/>
      <c r="H6" s="181"/>
    </row>
    <row r="7" spans="2:8" ht="95.25" customHeight="1" x14ac:dyDescent="0.25">
      <c r="B7" s="189" t="s">
        <v>187</v>
      </c>
      <c r="C7" s="190"/>
      <c r="D7" s="190"/>
      <c r="E7" s="190"/>
      <c r="F7" s="190"/>
      <c r="G7" s="190"/>
      <c r="H7" s="191"/>
    </row>
    <row r="8" spans="2:8" ht="16.5" x14ac:dyDescent="0.25">
      <c r="B8" s="106"/>
      <c r="C8" s="107"/>
      <c r="D8" s="107"/>
      <c r="E8" s="107"/>
      <c r="F8" s="107"/>
      <c r="G8" s="107"/>
      <c r="H8" s="108"/>
    </row>
    <row r="9" spans="2:8" ht="16.5" customHeight="1" x14ac:dyDescent="0.25">
      <c r="B9" s="182" t="s">
        <v>179</v>
      </c>
      <c r="C9" s="183"/>
      <c r="D9" s="183"/>
      <c r="E9" s="183"/>
      <c r="F9" s="183"/>
      <c r="G9" s="183"/>
      <c r="H9" s="184"/>
    </row>
    <row r="10" spans="2:8" ht="44.25" customHeight="1" x14ac:dyDescent="0.25">
      <c r="B10" s="182"/>
      <c r="C10" s="183"/>
      <c r="D10" s="183"/>
      <c r="E10" s="183"/>
      <c r="F10" s="183"/>
      <c r="G10" s="183"/>
      <c r="H10" s="184"/>
    </row>
    <row r="11" spans="2:8" ht="15.75" thickBot="1" x14ac:dyDescent="0.3">
      <c r="B11" s="94"/>
      <c r="C11" s="97"/>
      <c r="D11" s="102"/>
      <c r="E11" s="103"/>
      <c r="F11" s="103"/>
      <c r="G11" s="104"/>
      <c r="H11" s="105"/>
    </row>
    <row r="12" spans="2:8" ht="15.75" thickTop="1" x14ac:dyDescent="0.25">
      <c r="B12" s="94"/>
      <c r="C12" s="185" t="s">
        <v>158</v>
      </c>
      <c r="D12" s="186"/>
      <c r="E12" s="187" t="s">
        <v>180</v>
      </c>
      <c r="F12" s="188"/>
      <c r="G12" s="97"/>
      <c r="H12" s="98"/>
    </row>
    <row r="13" spans="2:8" ht="81.599999999999994" customHeight="1" x14ac:dyDescent="0.25">
      <c r="B13" s="94"/>
      <c r="C13" s="192" t="s">
        <v>160</v>
      </c>
      <c r="D13" s="193"/>
      <c r="E13" s="194" t="s">
        <v>196</v>
      </c>
      <c r="F13" s="195"/>
      <c r="G13" s="97"/>
      <c r="H13" s="98"/>
    </row>
    <row r="14" spans="2:8" x14ac:dyDescent="0.25">
      <c r="B14" s="94"/>
      <c r="C14" s="198" t="s">
        <v>190</v>
      </c>
      <c r="D14" s="199"/>
      <c r="E14" s="168" t="s">
        <v>197</v>
      </c>
      <c r="F14" s="169"/>
      <c r="G14" s="97"/>
      <c r="H14" s="98"/>
    </row>
    <row r="15" spans="2:8" ht="32.25" customHeight="1" x14ac:dyDescent="0.25">
      <c r="B15" s="94"/>
      <c r="C15" s="196" t="s">
        <v>191</v>
      </c>
      <c r="D15" s="197"/>
      <c r="E15" s="168" t="s">
        <v>203</v>
      </c>
      <c r="F15" s="169"/>
      <c r="G15" s="97"/>
      <c r="H15" s="98"/>
    </row>
    <row r="16" spans="2:8" ht="28.5" customHeight="1" x14ac:dyDescent="0.25">
      <c r="B16" s="94"/>
      <c r="C16" s="162" t="s">
        <v>193</v>
      </c>
      <c r="D16" s="163"/>
      <c r="E16" s="158" t="s">
        <v>194</v>
      </c>
      <c r="F16" s="159"/>
      <c r="G16" s="97"/>
      <c r="H16" s="98"/>
    </row>
    <row r="17" spans="2:8" ht="32.25" customHeight="1" x14ac:dyDescent="0.25">
      <c r="B17" s="94"/>
      <c r="C17" s="145" t="s">
        <v>199</v>
      </c>
      <c r="D17" s="146"/>
      <c r="E17" s="168" t="s">
        <v>200</v>
      </c>
      <c r="F17" s="169"/>
      <c r="G17" s="97"/>
      <c r="H17" s="98"/>
    </row>
    <row r="18" spans="2:8" ht="72.75" customHeight="1" x14ac:dyDescent="0.25">
      <c r="B18" s="94"/>
      <c r="C18" s="162" t="s">
        <v>1</v>
      </c>
      <c r="D18" s="163"/>
      <c r="E18" s="158" t="s">
        <v>188</v>
      </c>
      <c r="F18" s="159"/>
      <c r="G18" s="97"/>
      <c r="H18" s="98"/>
    </row>
    <row r="19" spans="2:8" ht="64.5" customHeight="1" x14ac:dyDescent="0.25">
      <c r="B19" s="94"/>
      <c r="C19" s="162" t="s">
        <v>46</v>
      </c>
      <c r="D19" s="163"/>
      <c r="E19" s="158" t="s">
        <v>192</v>
      </c>
      <c r="F19" s="159"/>
      <c r="G19" s="147"/>
      <c r="H19" s="98"/>
    </row>
    <row r="20" spans="2:8" ht="62.25" customHeight="1" x14ac:dyDescent="0.25">
      <c r="B20" s="94"/>
      <c r="C20" s="162" t="s">
        <v>201</v>
      </c>
      <c r="D20" s="163"/>
      <c r="E20" s="158" t="s">
        <v>195</v>
      </c>
      <c r="F20" s="159"/>
      <c r="G20" s="147"/>
      <c r="H20" s="98"/>
    </row>
    <row r="21" spans="2:8" ht="71.25" customHeight="1" x14ac:dyDescent="0.25">
      <c r="B21" s="94"/>
      <c r="C21" s="162" t="s">
        <v>161</v>
      </c>
      <c r="D21" s="163"/>
      <c r="E21" s="158" t="s">
        <v>204</v>
      </c>
      <c r="F21" s="159"/>
      <c r="G21" s="147"/>
      <c r="H21" s="98"/>
    </row>
    <row r="22" spans="2:8" ht="55.5" customHeight="1" x14ac:dyDescent="0.25">
      <c r="B22" s="94"/>
      <c r="C22" s="160" t="s">
        <v>162</v>
      </c>
      <c r="D22" s="161"/>
      <c r="E22" s="158" t="s">
        <v>205</v>
      </c>
      <c r="F22" s="159"/>
      <c r="G22" s="148"/>
      <c r="H22" s="98"/>
    </row>
    <row r="23" spans="2:8" ht="42" customHeight="1" x14ac:dyDescent="0.25">
      <c r="B23" s="94"/>
      <c r="C23" s="160" t="s">
        <v>44</v>
      </c>
      <c r="D23" s="161"/>
      <c r="E23" s="158" t="s">
        <v>206</v>
      </c>
      <c r="F23" s="159"/>
      <c r="G23" s="97"/>
      <c r="H23" s="98"/>
    </row>
    <row r="24" spans="2:8" ht="59.25" customHeight="1" x14ac:dyDescent="0.25">
      <c r="B24" s="94"/>
      <c r="C24" s="160" t="s">
        <v>156</v>
      </c>
      <c r="D24" s="161"/>
      <c r="E24" s="158" t="s">
        <v>189</v>
      </c>
      <c r="F24" s="159"/>
      <c r="G24" s="97"/>
      <c r="H24" s="98"/>
    </row>
    <row r="25" spans="2:8" ht="23.25" customHeight="1" x14ac:dyDescent="0.25">
      <c r="B25" s="94"/>
      <c r="C25" s="160" t="s">
        <v>11</v>
      </c>
      <c r="D25" s="161"/>
      <c r="E25" s="158" t="s">
        <v>207</v>
      </c>
      <c r="F25" s="159"/>
      <c r="G25" s="97"/>
      <c r="H25" s="98"/>
    </row>
    <row r="26" spans="2:8" ht="30.75" customHeight="1" x14ac:dyDescent="0.25">
      <c r="B26" s="94"/>
      <c r="C26" s="160" t="s">
        <v>165</v>
      </c>
      <c r="D26" s="161"/>
      <c r="E26" s="158" t="s">
        <v>163</v>
      </c>
      <c r="F26" s="159"/>
      <c r="G26" s="97"/>
      <c r="H26" s="98"/>
    </row>
    <row r="27" spans="2:8" ht="35.25" customHeight="1" x14ac:dyDescent="0.25">
      <c r="B27" s="94"/>
      <c r="C27" s="160" t="s">
        <v>166</v>
      </c>
      <c r="D27" s="161"/>
      <c r="E27" s="158" t="s">
        <v>164</v>
      </c>
      <c r="F27" s="159"/>
      <c r="G27" s="97"/>
      <c r="H27" s="98"/>
    </row>
    <row r="28" spans="2:8" ht="33" customHeight="1" x14ac:dyDescent="0.25">
      <c r="B28" s="94"/>
      <c r="C28" s="160" t="s">
        <v>166</v>
      </c>
      <c r="D28" s="161"/>
      <c r="E28" s="158" t="s">
        <v>164</v>
      </c>
      <c r="F28" s="159"/>
      <c r="G28" s="97"/>
      <c r="H28" s="98"/>
    </row>
    <row r="29" spans="2:8" ht="30" customHeight="1" x14ac:dyDescent="0.25">
      <c r="B29" s="94"/>
      <c r="C29" s="160" t="s">
        <v>167</v>
      </c>
      <c r="D29" s="161"/>
      <c r="E29" s="158" t="s">
        <v>208</v>
      </c>
      <c r="F29" s="159"/>
      <c r="G29" s="97"/>
      <c r="H29" s="98"/>
    </row>
    <row r="30" spans="2:8" ht="35.25" customHeight="1" x14ac:dyDescent="0.25">
      <c r="B30" s="94"/>
      <c r="C30" s="160" t="s">
        <v>168</v>
      </c>
      <c r="D30" s="161"/>
      <c r="E30" s="158" t="s">
        <v>169</v>
      </c>
      <c r="F30" s="159"/>
      <c r="G30" s="97"/>
      <c r="H30" s="98"/>
    </row>
    <row r="31" spans="2:8" ht="31.5" customHeight="1" x14ac:dyDescent="0.25">
      <c r="B31" s="94"/>
      <c r="C31" s="160" t="s">
        <v>170</v>
      </c>
      <c r="D31" s="161"/>
      <c r="E31" s="158" t="s">
        <v>171</v>
      </c>
      <c r="F31" s="159"/>
      <c r="G31" s="97"/>
      <c r="H31" s="98"/>
    </row>
    <row r="32" spans="2:8" ht="35.25" customHeight="1" x14ac:dyDescent="0.25">
      <c r="B32" s="94"/>
      <c r="C32" s="160" t="s">
        <v>172</v>
      </c>
      <c r="D32" s="161"/>
      <c r="E32" s="158" t="s">
        <v>173</v>
      </c>
      <c r="F32" s="159"/>
      <c r="G32" s="97"/>
      <c r="H32" s="98"/>
    </row>
    <row r="33" spans="2:8" ht="59.25" customHeight="1" x14ac:dyDescent="0.25">
      <c r="B33" s="94"/>
      <c r="C33" s="160" t="s">
        <v>174</v>
      </c>
      <c r="D33" s="161"/>
      <c r="E33" s="158" t="s">
        <v>209</v>
      </c>
      <c r="F33" s="159"/>
      <c r="G33" s="97"/>
      <c r="H33" s="98"/>
    </row>
    <row r="34" spans="2:8" ht="41.45" customHeight="1" x14ac:dyDescent="0.25">
      <c r="B34" s="94"/>
      <c r="C34" s="160" t="s">
        <v>28</v>
      </c>
      <c r="D34" s="161"/>
      <c r="E34" s="158" t="s">
        <v>175</v>
      </c>
      <c r="F34" s="159"/>
      <c r="G34" s="97"/>
      <c r="H34" s="98"/>
    </row>
    <row r="35" spans="2:8" ht="96.6" customHeight="1" x14ac:dyDescent="0.25">
      <c r="B35" s="94"/>
      <c r="C35" s="160" t="s">
        <v>177</v>
      </c>
      <c r="D35" s="161"/>
      <c r="E35" s="158" t="s">
        <v>176</v>
      </c>
      <c r="F35" s="159"/>
      <c r="G35" s="97"/>
      <c r="H35" s="98"/>
    </row>
    <row r="36" spans="2:8" ht="52.15" customHeight="1" x14ac:dyDescent="0.25">
      <c r="B36" s="94"/>
      <c r="C36" s="160" t="s">
        <v>38</v>
      </c>
      <c r="D36" s="161"/>
      <c r="E36" s="158" t="s">
        <v>178</v>
      </c>
      <c r="F36" s="159"/>
      <c r="G36" s="97"/>
      <c r="H36" s="98"/>
    </row>
    <row r="37" spans="2:8" ht="12" customHeight="1" thickBot="1" x14ac:dyDescent="0.3">
      <c r="B37" s="94"/>
      <c r="C37" s="164"/>
      <c r="D37" s="165"/>
      <c r="E37" s="166"/>
      <c r="F37" s="167"/>
      <c r="G37" s="97"/>
      <c r="H37" s="98"/>
    </row>
    <row r="38" spans="2:8" ht="15.75" thickTop="1" x14ac:dyDescent="0.25">
      <c r="B38" s="94"/>
      <c r="C38" s="95"/>
      <c r="D38" s="95"/>
      <c r="E38" s="96"/>
      <c r="F38" s="96"/>
      <c r="G38" s="97"/>
      <c r="H38" s="98"/>
    </row>
    <row r="39" spans="2:8" ht="21" customHeight="1" x14ac:dyDescent="0.25">
      <c r="B39" s="155" t="s">
        <v>181</v>
      </c>
      <c r="C39" s="156"/>
      <c r="D39" s="156"/>
      <c r="E39" s="156"/>
      <c r="F39" s="156"/>
      <c r="G39" s="156"/>
      <c r="H39" s="157"/>
    </row>
    <row r="40" spans="2:8" ht="20.25" customHeight="1" x14ac:dyDescent="0.25">
      <c r="B40" s="155" t="s">
        <v>182</v>
      </c>
      <c r="C40" s="156"/>
      <c r="D40" s="156"/>
      <c r="E40" s="156"/>
      <c r="F40" s="156"/>
      <c r="G40" s="156"/>
      <c r="H40" s="157"/>
    </row>
    <row r="41" spans="2:8" ht="20.25" customHeight="1" x14ac:dyDescent="0.25">
      <c r="B41" s="155" t="s">
        <v>183</v>
      </c>
      <c r="C41" s="156"/>
      <c r="D41" s="156"/>
      <c r="E41" s="156"/>
      <c r="F41" s="156"/>
      <c r="G41" s="156"/>
      <c r="H41" s="157"/>
    </row>
    <row r="42" spans="2:8" ht="20.25" customHeight="1" x14ac:dyDescent="0.25">
      <c r="B42" s="155" t="s">
        <v>184</v>
      </c>
      <c r="C42" s="156"/>
      <c r="D42" s="156"/>
      <c r="E42" s="156"/>
      <c r="F42" s="156"/>
      <c r="G42" s="156"/>
      <c r="H42" s="157"/>
    </row>
    <row r="43" spans="2:8" x14ac:dyDescent="0.25">
      <c r="B43" s="155" t="s">
        <v>185</v>
      </c>
      <c r="C43" s="156"/>
      <c r="D43" s="156"/>
      <c r="E43" s="156"/>
      <c r="F43" s="156"/>
      <c r="G43" s="156"/>
      <c r="H43" s="157"/>
    </row>
    <row r="44" spans="2:8" ht="15.75" thickBot="1" x14ac:dyDescent="0.3">
      <c r="B44" s="99"/>
      <c r="C44" s="100"/>
      <c r="D44" s="100"/>
      <c r="E44" s="100"/>
      <c r="F44" s="100"/>
      <c r="G44" s="100"/>
      <c r="H44" s="101"/>
    </row>
  </sheetData>
  <mergeCells count="61">
    <mergeCell ref="E17:F17"/>
    <mergeCell ref="C18:D18"/>
    <mergeCell ref="E18:F18"/>
    <mergeCell ref="B2:H2"/>
    <mergeCell ref="B4:H5"/>
    <mergeCell ref="B6:H6"/>
    <mergeCell ref="B9:H10"/>
    <mergeCell ref="C12:D12"/>
    <mergeCell ref="E12:F12"/>
    <mergeCell ref="B7:H7"/>
    <mergeCell ref="C13:D13"/>
    <mergeCell ref="E13:F13"/>
    <mergeCell ref="C15:D15"/>
    <mergeCell ref="E15:F15"/>
    <mergeCell ref="C14:D14"/>
    <mergeCell ref="E14:F14"/>
    <mergeCell ref="C23:D23"/>
    <mergeCell ref="C19:D19"/>
    <mergeCell ref="C21:D21"/>
    <mergeCell ref="C22:D22"/>
    <mergeCell ref="E19:F19"/>
    <mergeCell ref="E21:F21"/>
    <mergeCell ref="E22:F22"/>
    <mergeCell ref="E23:F23"/>
    <mergeCell ref="C20:D20"/>
    <mergeCell ref="E20:F20"/>
    <mergeCell ref="E25:F25"/>
    <mergeCell ref="C25:D25"/>
    <mergeCell ref="C26:D26"/>
    <mergeCell ref="E26:F26"/>
    <mergeCell ref="C28:D28"/>
    <mergeCell ref="E28:F28"/>
    <mergeCell ref="B39:H39"/>
    <mergeCell ref="B40:H40"/>
    <mergeCell ref="B41:H41"/>
    <mergeCell ref="E36:F36"/>
    <mergeCell ref="C34:D34"/>
    <mergeCell ref="E34:F34"/>
    <mergeCell ref="E32:F32"/>
    <mergeCell ref="E35:F35"/>
    <mergeCell ref="C36:D36"/>
    <mergeCell ref="C37:D37"/>
    <mergeCell ref="E37:F37"/>
    <mergeCell ref="C33:D33"/>
    <mergeCell ref="E33:F33"/>
    <mergeCell ref="B43:H43"/>
    <mergeCell ref="E30:F30"/>
    <mergeCell ref="C30:D30"/>
    <mergeCell ref="C16:D16"/>
    <mergeCell ref="E16:F16"/>
    <mergeCell ref="E24:F24"/>
    <mergeCell ref="C24:D24"/>
    <mergeCell ref="C27:D27"/>
    <mergeCell ref="E27:F27"/>
    <mergeCell ref="C29:D29"/>
    <mergeCell ref="E29:F29"/>
    <mergeCell ref="C35:D35"/>
    <mergeCell ref="B42:H42"/>
    <mergeCell ref="C31:D31"/>
    <mergeCell ref="E31:F31"/>
    <mergeCell ref="C32:D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R131"/>
  <sheetViews>
    <sheetView tabSelected="1" topLeftCell="Q1" zoomScale="60" zoomScaleNormal="60" workbookViewId="0">
      <pane ySplit="8" topLeftCell="A10" activePane="bottomLeft" state="frozen"/>
      <selection pane="bottomLeft" activeCell="AK10" sqref="AK10"/>
    </sheetView>
  </sheetViews>
  <sheetFormatPr baseColWidth="10" defaultColWidth="11.42578125" defaultRowHeight="16.5" x14ac:dyDescent="0.3"/>
  <cols>
    <col min="1" max="1" width="4" style="128" bestFit="1" customWidth="1"/>
    <col min="2" max="2" width="24.28515625" style="128" customWidth="1"/>
    <col min="3" max="3" width="61.28515625" style="128" customWidth="1"/>
    <col min="4" max="4" width="47" style="128" customWidth="1"/>
    <col min="5" max="5" width="53.7109375" style="110" customWidth="1"/>
    <col min="6" max="6" width="47.7109375" style="110" customWidth="1"/>
    <col min="7" max="8" width="19" style="129" customWidth="1"/>
    <col min="9" max="9" width="17.85546875" style="110" customWidth="1"/>
    <col min="10" max="10" width="16.5703125" style="110" customWidth="1"/>
    <col min="11" max="11" width="6.28515625" style="110" bestFit="1" customWidth="1"/>
    <col min="12" max="12" width="27.28515625" style="110" bestFit="1" customWidth="1"/>
    <col min="13" max="13" width="16.7109375" style="110" customWidth="1"/>
    <col min="14" max="14" width="17.5703125" style="110" customWidth="1"/>
    <col min="15" max="15" width="6.28515625" style="110" bestFit="1" customWidth="1"/>
    <col min="16" max="16" width="16" style="110" customWidth="1"/>
    <col min="17" max="17" width="5.85546875" style="110" customWidth="1"/>
    <col min="18" max="18" width="31" style="110" customWidth="1"/>
    <col min="19" max="19" width="15.140625" style="110" bestFit="1" customWidth="1"/>
    <col min="20" max="20" width="6.85546875" style="110" customWidth="1"/>
    <col min="21" max="21" width="5" style="110" customWidth="1"/>
    <col min="22" max="22" width="5.5703125" style="110" customWidth="1"/>
    <col min="23" max="23" width="7.140625" style="110" customWidth="1"/>
    <col min="24" max="24" width="6.7109375" style="110" customWidth="1"/>
    <col min="25" max="25" width="7.5703125" style="110" customWidth="1"/>
    <col min="26" max="26" width="8" style="110" customWidth="1"/>
    <col min="27" max="27" width="8.7109375" style="110" customWidth="1"/>
    <col min="28" max="28" width="10.42578125" style="110" customWidth="1"/>
    <col min="29" max="29" width="9.28515625" style="110" customWidth="1"/>
    <col min="30" max="30" width="9.140625" style="110" customWidth="1"/>
    <col min="31" max="31" width="8.42578125" style="110" customWidth="1"/>
    <col min="32" max="32" width="7.28515625" style="110" customWidth="1"/>
    <col min="33" max="33" width="48" style="110" customWidth="1"/>
    <col min="34" max="34" width="18.85546875" style="110" customWidth="1"/>
    <col min="35" max="35" width="23.5703125" style="110" customWidth="1"/>
    <col min="36" max="36" width="20.5703125" style="110" customWidth="1"/>
    <col min="37" max="37" width="39.7109375" style="110" customWidth="1"/>
    <col min="38" max="38" width="21" style="110" customWidth="1"/>
    <col min="39" max="16384" width="11.42578125" style="110"/>
  </cols>
  <sheetData>
    <row r="1" spans="1:70" ht="35.25" customHeight="1" x14ac:dyDescent="0.3">
      <c r="A1" s="230" t="s">
        <v>137</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2"/>
      <c r="AM1" s="154"/>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row>
    <row r="2" spans="1:70" ht="24" customHeight="1" x14ac:dyDescent="0.3">
      <c r="A2" s="233" t="s">
        <v>216</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5"/>
      <c r="AM2" s="154"/>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row>
    <row r="3" spans="1:70" ht="51" customHeight="1" x14ac:dyDescent="0.3">
      <c r="A3" s="233" t="s">
        <v>214</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5"/>
      <c r="AM3" s="154"/>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row>
    <row r="4" spans="1:70" ht="24" customHeight="1" x14ac:dyDescent="0.3">
      <c r="A4" s="233" t="s">
        <v>215</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5"/>
      <c r="AM4" s="154"/>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row>
    <row r="5" spans="1:70" x14ac:dyDescent="0.3">
      <c r="A5" s="151"/>
      <c r="B5" s="151"/>
      <c r="C5" s="151"/>
      <c r="D5" s="151"/>
      <c r="E5" s="152"/>
      <c r="F5" s="152"/>
      <c r="G5" s="153"/>
      <c r="H5" s="153"/>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row>
    <row r="6" spans="1:70" x14ac:dyDescent="0.3">
      <c r="A6" s="214" t="s">
        <v>133</v>
      </c>
      <c r="B6" s="214"/>
      <c r="C6" s="214"/>
      <c r="D6" s="214"/>
      <c r="E6" s="214"/>
      <c r="F6" s="214"/>
      <c r="G6" s="214"/>
      <c r="H6" s="214"/>
      <c r="I6" s="214"/>
      <c r="J6" s="214" t="s">
        <v>134</v>
      </c>
      <c r="K6" s="214"/>
      <c r="L6" s="214"/>
      <c r="M6" s="214"/>
      <c r="N6" s="214"/>
      <c r="O6" s="214"/>
      <c r="P6" s="214"/>
      <c r="Q6" s="214" t="s">
        <v>135</v>
      </c>
      <c r="R6" s="214"/>
      <c r="S6" s="214"/>
      <c r="T6" s="214"/>
      <c r="U6" s="214"/>
      <c r="V6" s="214"/>
      <c r="W6" s="214"/>
      <c r="X6" s="214"/>
      <c r="Y6" s="214"/>
      <c r="Z6" s="214" t="s">
        <v>136</v>
      </c>
      <c r="AA6" s="214"/>
      <c r="AB6" s="214"/>
      <c r="AC6" s="214"/>
      <c r="AD6" s="214"/>
      <c r="AE6" s="214"/>
      <c r="AF6" s="214"/>
      <c r="AG6" s="214" t="s">
        <v>33</v>
      </c>
      <c r="AH6" s="214"/>
      <c r="AI6" s="214"/>
      <c r="AJ6" s="214"/>
      <c r="AK6" s="214"/>
      <c r="AL6" s="214"/>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row>
    <row r="7" spans="1:70" ht="16.5" customHeight="1" x14ac:dyDescent="0.3">
      <c r="A7" s="219" t="s">
        <v>0</v>
      </c>
      <c r="B7" s="143"/>
      <c r="C7" s="143"/>
      <c r="D7" s="218" t="s">
        <v>193</v>
      </c>
      <c r="E7" s="218" t="s">
        <v>199</v>
      </c>
      <c r="F7" s="142"/>
      <c r="G7" s="218" t="s">
        <v>46</v>
      </c>
      <c r="H7" s="236" t="s">
        <v>201</v>
      </c>
      <c r="I7" s="218" t="s">
        <v>129</v>
      </c>
      <c r="J7" s="218" t="s">
        <v>32</v>
      </c>
      <c r="K7" s="214" t="s">
        <v>4</v>
      </c>
      <c r="L7" s="218" t="s">
        <v>83</v>
      </c>
      <c r="M7" s="218" t="s">
        <v>88</v>
      </c>
      <c r="N7" s="218" t="s">
        <v>41</v>
      </c>
      <c r="O7" s="214" t="s">
        <v>4</v>
      </c>
      <c r="P7" s="218" t="s">
        <v>44</v>
      </c>
      <c r="Q7" s="220" t="s">
        <v>10</v>
      </c>
      <c r="R7" s="218" t="s">
        <v>156</v>
      </c>
      <c r="S7" s="218" t="s">
        <v>11</v>
      </c>
      <c r="T7" s="218" t="s">
        <v>7</v>
      </c>
      <c r="U7" s="218"/>
      <c r="V7" s="218"/>
      <c r="W7" s="218"/>
      <c r="X7" s="218"/>
      <c r="Y7" s="218"/>
      <c r="Z7" s="220" t="s">
        <v>132</v>
      </c>
      <c r="AA7" s="220" t="s">
        <v>42</v>
      </c>
      <c r="AB7" s="220" t="s">
        <v>4</v>
      </c>
      <c r="AC7" s="220" t="s">
        <v>43</v>
      </c>
      <c r="AD7" s="220" t="s">
        <v>4</v>
      </c>
      <c r="AE7" s="220" t="s">
        <v>45</v>
      </c>
      <c r="AF7" s="220" t="s">
        <v>28</v>
      </c>
      <c r="AG7" s="218" t="s">
        <v>33</v>
      </c>
      <c r="AH7" s="218" t="s">
        <v>34</v>
      </c>
      <c r="AI7" s="218" t="s">
        <v>35</v>
      </c>
      <c r="AJ7" s="218" t="s">
        <v>37</v>
      </c>
      <c r="AK7" s="218" t="s">
        <v>36</v>
      </c>
      <c r="AL7" s="218" t="s">
        <v>38</v>
      </c>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row>
    <row r="8" spans="1:70" s="112" customFormat="1" ht="120" customHeight="1" x14ac:dyDescent="0.25">
      <c r="A8" s="219"/>
      <c r="B8" s="144" t="s">
        <v>190</v>
      </c>
      <c r="C8" s="144" t="s">
        <v>202</v>
      </c>
      <c r="D8" s="218"/>
      <c r="E8" s="218"/>
      <c r="F8" s="142" t="s">
        <v>198</v>
      </c>
      <c r="G8" s="218"/>
      <c r="H8" s="237"/>
      <c r="I8" s="218"/>
      <c r="J8" s="218"/>
      <c r="K8" s="214"/>
      <c r="L8" s="218"/>
      <c r="M8" s="218"/>
      <c r="N8" s="214"/>
      <c r="O8" s="214"/>
      <c r="P8" s="218"/>
      <c r="Q8" s="220"/>
      <c r="R8" s="218"/>
      <c r="S8" s="218"/>
      <c r="T8" s="130" t="s">
        <v>12</v>
      </c>
      <c r="U8" s="130" t="s">
        <v>16</v>
      </c>
      <c r="V8" s="130" t="s">
        <v>27</v>
      </c>
      <c r="W8" s="130" t="s">
        <v>17</v>
      </c>
      <c r="X8" s="130" t="s">
        <v>20</v>
      </c>
      <c r="Y8" s="130" t="s">
        <v>23</v>
      </c>
      <c r="Z8" s="220"/>
      <c r="AA8" s="220"/>
      <c r="AB8" s="220"/>
      <c r="AC8" s="220"/>
      <c r="AD8" s="220"/>
      <c r="AE8" s="220"/>
      <c r="AF8" s="220"/>
      <c r="AG8" s="218"/>
      <c r="AH8" s="218"/>
      <c r="AI8" s="218"/>
      <c r="AJ8" s="218"/>
      <c r="AK8" s="218"/>
      <c r="AL8" s="218"/>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row>
    <row r="9" spans="1:70" s="125" customFormat="1" ht="115.5" x14ac:dyDescent="0.25">
      <c r="A9" s="211">
        <v>1</v>
      </c>
      <c r="B9" s="224"/>
      <c r="C9" s="221" t="s">
        <v>218</v>
      </c>
      <c r="D9" s="212" t="s">
        <v>220</v>
      </c>
      <c r="E9" s="204" t="s">
        <v>219</v>
      </c>
      <c r="F9" s="204" t="s">
        <v>219</v>
      </c>
      <c r="G9" s="212" t="s">
        <v>221</v>
      </c>
      <c r="H9" s="205" t="s">
        <v>210</v>
      </c>
      <c r="I9" s="213">
        <v>50</v>
      </c>
      <c r="J9" s="200" t="str">
        <f>IF(I9&lt;=0,"",IF(I9&lt;=2,"Muy Baja",IF(I9&lt;=24,"Baja",IF(I9&lt;=500,"Media",IF(I9&lt;=5000,"Alta","Muy Alta")))))</f>
        <v>Media</v>
      </c>
      <c r="K9" s="201">
        <f>IF(J9="","",IF(J9="Muy Baja",0.2,IF(J9="Baja",0.4,IF(J9="Media",0.6,IF(J9="Alta",0.8,IF(J9="Muy Alta",1,))))))</f>
        <v>0.6</v>
      </c>
      <c r="L9" s="203" t="s">
        <v>144</v>
      </c>
      <c r="M9" s="201" t="str">
        <f>IF(NOT(ISERROR(MATCH(L9,'Tabla Impacto'!$B$221:$B$223,0))),'Tabla Impacto'!$F$223&amp;"Por favor no seleccionar los criterios de impacto(Afectación Económica o presupuestal y Pérdida Reputacional)",L9)</f>
        <v xml:space="preserve">     Entre 100 y 500 SMLMV </v>
      </c>
      <c r="N9" s="200" t="str">
        <f>IF(OR(M9='Tabla Impacto'!$C$11,M9='Tabla Impacto'!$D$11),"Leve",IF(OR(M9='Tabla Impacto'!$C$12,M9='Tabla Impacto'!$D$12),"Menor",IF(OR(M9='Tabla Impacto'!$C$13,M9='Tabla Impacto'!$D$13),"Moderado",IF(OR(M9='Tabla Impacto'!$C$14,M9='Tabla Impacto'!$D$14),"Mayor",IF(OR(M9='Tabla Impacto'!$C$15,M9='Tabla Impacto'!$D$15),"Catastrófico","")))))</f>
        <v>Mayor</v>
      </c>
      <c r="O9" s="201">
        <f>IF(N9="","",IF(N9="Leve",0.2,IF(N9="Menor",0.4,IF(N9="Moderado",0.6,IF(N9="Mayor",0.8,IF(N9="Catastrófico",1,))))))</f>
        <v>0.8</v>
      </c>
      <c r="P9" s="202" t="s">
        <v>77</v>
      </c>
      <c r="Q9" s="113">
        <v>1</v>
      </c>
      <c r="R9" s="114" t="s">
        <v>222</v>
      </c>
      <c r="S9" s="115" t="str">
        <f>IF(OR(T9="Preventivo",T9="Detectivo"),"Probabilidad",IF(T9="Correctivo","Impacto",""))</f>
        <v>Probabilidad</v>
      </c>
      <c r="T9" s="116" t="s">
        <v>13</v>
      </c>
      <c r="U9" s="116" t="s">
        <v>9</v>
      </c>
      <c r="V9" s="117" t="str">
        <f>IF(AND(T9="Preventivo",U9="Automático"),"50%",IF(AND(T9="Preventivo",U9="Manual"),"40%",IF(AND(T9="Detectivo",U9="Automático"),"40%",IF(AND(T9="Detectivo",U9="Manual"),"30%",IF(AND(T9="Correctivo",U9="Automático"),"35%",IF(AND(T9="Correctivo",U9="Manual"),"25%",""))))))</f>
        <v>50%</v>
      </c>
      <c r="W9" s="116" t="s">
        <v>18</v>
      </c>
      <c r="X9" s="116" t="s">
        <v>21</v>
      </c>
      <c r="Y9" s="116" t="s">
        <v>115</v>
      </c>
      <c r="Z9" s="118">
        <f>IFERROR(IF(S9="Probabilidad",(K9-(+K9*V9)),IF(S9="Impacto",K9,"")),"")</f>
        <v>0.3</v>
      </c>
      <c r="AA9" s="119" t="str">
        <f>IFERROR(IF(Z9="","",IF(Z9&lt;=0.2,"Muy Baja",IF(Z9&lt;=0.4,"Baja",IF(Z9&lt;=0.6,"Media",IF(Z9&lt;=0.8,"Alta","Muy Alta"))))),"")</f>
        <v>Baja</v>
      </c>
      <c r="AB9" s="117">
        <f>+Z9</f>
        <v>0.3</v>
      </c>
      <c r="AC9" s="119" t="str">
        <f>IFERROR(IF(AD9="","",IF(AD9&lt;=0.2,"Leve",IF(AD9&lt;=0.4,"Menor",IF(AD9&lt;=0.6,"Moderado",IF(AD9&lt;=0.8,"Mayor","Catastrófico"))))),"")</f>
        <v>Mayor</v>
      </c>
      <c r="AD9" s="117">
        <f>IFERROR(IF(S9="Impacto",(O9-(+O9*V9)),IF(S9="Probabilidad",O9,"")),"")</f>
        <v>0.8</v>
      </c>
      <c r="AE9" s="120" t="str">
        <f>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Alto</v>
      </c>
      <c r="AF9" s="116" t="s">
        <v>130</v>
      </c>
      <c r="AG9" s="150" t="s">
        <v>224</v>
      </c>
      <c r="AH9" s="149" t="s">
        <v>225</v>
      </c>
      <c r="AI9" s="123">
        <v>44423</v>
      </c>
      <c r="AJ9" s="123" t="s">
        <v>213</v>
      </c>
      <c r="AK9" s="150" t="s">
        <v>228</v>
      </c>
      <c r="AL9" s="122" t="s">
        <v>39</v>
      </c>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row>
    <row r="10" spans="1:70" ht="99" x14ac:dyDescent="0.3">
      <c r="A10" s="211"/>
      <c r="B10" s="225"/>
      <c r="C10" s="222"/>
      <c r="D10" s="212"/>
      <c r="E10" s="204"/>
      <c r="F10" s="204"/>
      <c r="G10" s="212"/>
      <c r="H10" s="206"/>
      <c r="I10" s="213"/>
      <c r="J10" s="200"/>
      <c r="K10" s="201"/>
      <c r="L10" s="203"/>
      <c r="M10" s="201">
        <f>IF(NOT(ISERROR(MATCH(L10,_xlfn.ANCHORARRAY(E21),0))),K23&amp;"Por favor no seleccionar los criterios de impacto",L10)</f>
        <v>0</v>
      </c>
      <c r="N10" s="200"/>
      <c r="O10" s="201"/>
      <c r="P10" s="202"/>
      <c r="Q10" s="113">
        <v>2</v>
      </c>
      <c r="R10" s="114" t="s">
        <v>223</v>
      </c>
      <c r="S10" s="115" t="str">
        <f>IF(OR(T10="Preventivo",T10="Detectivo"),"Probabilidad",IF(T10="Correctivo","Impacto",""))</f>
        <v>Impacto</v>
      </c>
      <c r="T10" s="116" t="s">
        <v>15</v>
      </c>
      <c r="U10" s="116" t="s">
        <v>8</v>
      </c>
      <c r="V10" s="117"/>
      <c r="W10" s="116" t="s">
        <v>18</v>
      </c>
      <c r="X10" s="116" t="s">
        <v>21</v>
      </c>
      <c r="Y10" s="116" t="s">
        <v>115</v>
      </c>
      <c r="Z10" s="118">
        <f>IFERROR(IF(AND(S9="Probabilidad",S10="Probabilidad"),(AB9-(+AB9*V10)),IF(S10="Probabilidad",(K9-(+K9*V10)),IF(S10="Impacto",AB9,""))),"")</f>
        <v>0.3</v>
      </c>
      <c r="AA10" s="119" t="str">
        <f t="shared" ref="AA10:AA68" si="0">IFERROR(IF(Z10="","",IF(Z10&lt;=0.2,"Muy Baja",IF(Z10&lt;=0.4,"Baja",IF(Z10&lt;=0.6,"Media",IF(Z10&lt;=0.8,"Alta","Muy Alta"))))),"")</f>
        <v>Baja</v>
      </c>
      <c r="AB10" s="117">
        <f t="shared" ref="AB10:AB14" si="1">+Z10</f>
        <v>0.3</v>
      </c>
      <c r="AC10" s="119" t="str">
        <f t="shared" ref="AC10:AC68" si="2">IFERROR(IF(AD10="","",IF(AD10&lt;=0.2,"Leve",IF(AD10&lt;=0.4,"Menor",IF(AD10&lt;=0.6,"Moderado",IF(AD10&lt;=0.8,"Mayor","Catastrófico"))))),"")</f>
        <v>Mayor</v>
      </c>
      <c r="AD10" s="117">
        <f>IFERROR(IF(AND(S9="Impacto",S10="Impacto"),(AD9-(+AD9*V10)),IF(S10="Impacto",($O$9-(+$O$9*V10)),IF(S10="Probabilidad",AD9,""))),"")</f>
        <v>0.8</v>
      </c>
      <c r="AE10" s="120" t="str">
        <f t="shared" ref="AE10:AE14" si="3">IFERROR(IF(OR(AND(AA10="Muy Baja",AC10="Leve"),AND(AA10="Muy Baja",AC10="Menor"),AND(AA10="Baja",AC10="Leve")),"Bajo",IF(OR(AND(AA10="Muy baja",AC10="Moderado"),AND(AA10="Baja",AC10="Menor"),AND(AA10="Baja",AC10="Moderado"),AND(AA10="Media",AC10="Leve"),AND(AA10="Media",AC10="Menor"),AND(AA10="Media",AC10="Moderado"),AND(AA10="Alta",AC10="Leve"),AND(AA10="Alta",AC10="Menor")),"Moderado",IF(OR(AND(AA10="Muy Baja",AC10="Mayor"),AND(AA10="Baja",AC10="Mayor"),AND(AA10="Media",AC10="Mayor"),AND(AA10="Alta",AC10="Moderado"),AND(AA10="Alta",AC10="Mayor"),AND(AA10="Muy Alta",AC10="Leve"),AND(AA10="Muy Alta",AC10="Menor"),AND(AA10="Muy Alta",AC10="Moderado"),AND(AA10="Muy Alta",AC10="Mayor")),"Alto",IF(OR(AND(AA10="Muy Baja",AC10="Catastrófico"),AND(AA10="Baja",AC10="Catastrófico"),AND(AA10="Media",AC10="Catastrófico"),AND(AA10="Alta",AC10="Catastrófico"),AND(AA10="Muy Alta",AC10="Catastrófico")),"Extremo","")))),"")</f>
        <v>Alto</v>
      </c>
      <c r="AF10" s="116" t="s">
        <v>130</v>
      </c>
      <c r="AG10" s="121" t="s">
        <v>226</v>
      </c>
      <c r="AH10" s="149"/>
      <c r="AI10" s="123">
        <v>44423</v>
      </c>
      <c r="AJ10" s="123" t="s">
        <v>213</v>
      </c>
      <c r="AK10" s="121" t="s">
        <v>229</v>
      </c>
      <c r="AL10" s="122" t="s">
        <v>39</v>
      </c>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row>
    <row r="11" spans="1:70" ht="75.75" x14ac:dyDescent="0.3">
      <c r="A11" s="211"/>
      <c r="B11" s="225"/>
      <c r="C11" s="222"/>
      <c r="D11" s="212"/>
      <c r="E11" s="204"/>
      <c r="F11" s="204"/>
      <c r="G11" s="212"/>
      <c r="H11" s="206"/>
      <c r="I11" s="213"/>
      <c r="J11" s="200"/>
      <c r="K11" s="201"/>
      <c r="L11" s="203"/>
      <c r="M11" s="201">
        <f>IF(NOT(ISERROR(MATCH(L11,_xlfn.ANCHORARRAY(E22),0))),K24&amp;"Por favor no seleccionar los criterios de impacto",L11)</f>
        <v>0</v>
      </c>
      <c r="N11" s="200"/>
      <c r="O11" s="201"/>
      <c r="P11" s="202"/>
      <c r="Q11" s="113">
        <v>3</v>
      </c>
      <c r="R11" s="126"/>
      <c r="S11" s="115" t="str">
        <f t="shared" ref="S11:S13" si="4">IF(OR(T11="Preventivo",T11="Detectivo"),"Probabilidad",IF(T11="Correctivo","Impacto",""))</f>
        <v>Impacto</v>
      </c>
      <c r="T11" s="116" t="s">
        <v>15</v>
      </c>
      <c r="U11" s="116" t="s">
        <v>8</v>
      </c>
      <c r="V11" s="117" t="str">
        <f t="shared" ref="V11:V14" si="5">IF(AND(T11="Preventivo",U11="Automático"),"50%",IF(AND(T11="Preventivo",U11="Manual"),"40%",IF(AND(T11="Detectivo",U11="Automático"),"40%",IF(AND(T11="Detectivo",U11="Manual"),"30%",IF(AND(T11="Correctivo",U11="Automático"),"35%",IF(AND(T11="Correctivo",U11="Manual"),"25%",""))))))</f>
        <v>25%</v>
      </c>
      <c r="W11" s="116" t="s">
        <v>18</v>
      </c>
      <c r="X11" s="116" t="s">
        <v>21</v>
      </c>
      <c r="Y11" s="116" t="s">
        <v>115</v>
      </c>
      <c r="Z11" s="118">
        <f>IFERROR(IF(AND(S10="Probabilidad",S11="Probabilidad"),(AB10-(+AB10*V11)),IF(AND(S10="Impacto",S11="Probabilidad"),(AB9-(+AB9*V11)),IF(S11="Impacto",AB10,""))),"")</f>
        <v>0.3</v>
      </c>
      <c r="AA11" s="119" t="str">
        <f t="shared" si="0"/>
        <v>Baja</v>
      </c>
      <c r="AB11" s="117">
        <f t="shared" si="1"/>
        <v>0.3</v>
      </c>
      <c r="AC11" s="119" t="str">
        <f t="shared" si="2"/>
        <v>Moderado</v>
      </c>
      <c r="AD11" s="117">
        <f>IFERROR(IF(AND(S10="Impacto",S11="Impacto"),(AD10-(+AD10*V11)),IF(AND(S10="Probabilidad",S11="Impacto"),(AD9-(+AD9*V11)),IF(S11="Probabilidad",AD10,""))),"")</f>
        <v>0.60000000000000009</v>
      </c>
      <c r="AE11" s="120" t="str">
        <f t="shared" si="3"/>
        <v>Moderado</v>
      </c>
      <c r="AF11" s="116" t="s">
        <v>130</v>
      </c>
      <c r="AG11" s="121"/>
      <c r="AH11" s="149"/>
      <c r="AI11" s="123">
        <v>44423</v>
      </c>
      <c r="AJ11" s="123" t="s">
        <v>213</v>
      </c>
      <c r="AK11" s="121"/>
      <c r="AL11" s="122"/>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row>
    <row r="12" spans="1:70" ht="87.75" x14ac:dyDescent="0.3">
      <c r="A12" s="211"/>
      <c r="B12" s="225"/>
      <c r="C12" s="222"/>
      <c r="D12" s="212"/>
      <c r="E12" s="204"/>
      <c r="F12" s="204"/>
      <c r="G12" s="212"/>
      <c r="H12" s="206"/>
      <c r="I12" s="213"/>
      <c r="J12" s="200"/>
      <c r="K12" s="201"/>
      <c r="L12" s="203"/>
      <c r="M12" s="201">
        <f>IF(NOT(ISERROR(MATCH(L12,_xlfn.ANCHORARRAY(E23),0))),K25&amp;"Por favor no seleccionar los criterios de impacto",L12)</f>
        <v>0</v>
      </c>
      <c r="N12" s="200"/>
      <c r="O12" s="201"/>
      <c r="P12" s="202"/>
      <c r="Q12" s="113">
        <v>4</v>
      </c>
      <c r="R12" s="114"/>
      <c r="S12" s="115" t="str">
        <f t="shared" si="4"/>
        <v>Impacto</v>
      </c>
      <c r="T12" s="116" t="s">
        <v>15</v>
      </c>
      <c r="U12" s="116" t="s">
        <v>8</v>
      </c>
      <c r="V12" s="117" t="str">
        <f t="shared" si="5"/>
        <v>25%</v>
      </c>
      <c r="W12" s="116" t="s">
        <v>18</v>
      </c>
      <c r="X12" s="116" t="s">
        <v>21</v>
      </c>
      <c r="Y12" s="116" t="s">
        <v>115</v>
      </c>
      <c r="Z12" s="118">
        <f t="shared" ref="Z12:Z14" si="6">IFERROR(IF(AND(S11="Probabilidad",S12="Probabilidad"),(AB11-(+AB11*V12)),IF(AND(S11="Impacto",S12="Probabilidad"),(AB10-(+AB10*V12)),IF(S12="Impacto",AB11,""))),"")</f>
        <v>0.3</v>
      </c>
      <c r="AA12" s="119" t="str">
        <f t="shared" si="0"/>
        <v>Baja</v>
      </c>
      <c r="AB12" s="117">
        <f t="shared" si="1"/>
        <v>0.3</v>
      </c>
      <c r="AC12" s="119" t="str">
        <f t="shared" si="2"/>
        <v>Moderado</v>
      </c>
      <c r="AD12" s="117">
        <f t="shared" ref="AD12:AD14" si="7">IFERROR(IF(AND(S11="Impacto",S12="Impacto"),(AD11-(+AD11*V12)),IF(AND(S11="Probabilidad",S12="Impacto"),(AD10-(+AD10*V12)),IF(S12="Probabilidad",AD11,""))),"")</f>
        <v>0.45000000000000007</v>
      </c>
      <c r="AE12" s="120" t="str">
        <f>IFERROR(IF(OR(AND(AA12="Muy Baja",AC12="Leve"),AND(AA12="Muy Baja",AC12="Menor"),AND(AA12="Baja",AC12="Leve")),"Bajo",IF(OR(AND(AA12="Muy baja",AC12="Moderado"),AND(AA12="Baja",AC12="Menor"),AND(AA12="Baja",AC12="Moderado"),AND(AA12="Media",AC12="Leve"),AND(AA12="Media",AC12="Menor"),AND(AA12="Media",AC12="Moderado"),AND(AA12="Alta",AC12="Leve"),AND(AA12="Alta",AC12="Menor")),"Moderado",IF(OR(AND(AA12="Muy Baja",AC12="Mayor"),AND(AA12="Baja",AC12="Mayor"),AND(AA12="Media",AC12="Mayor"),AND(AA12="Alta",AC12="Moderado"),AND(AA12="Alta",AC12="Mayor"),AND(AA12="Muy Alta",AC12="Leve"),AND(AA12="Muy Alta",AC12="Menor"),AND(AA12="Muy Alta",AC12="Moderado"),AND(AA12="Muy Alta",AC12="Mayor")),"Alto",IF(OR(AND(AA12="Muy Baja",AC12="Catastrófico"),AND(AA12="Baja",AC12="Catastrófico"),AND(AA12="Media",AC12="Catastrófico"),AND(AA12="Alta",AC12="Catastrófico"),AND(AA12="Muy Alta",AC12="Catastrófico")),"Extremo","")))),"")</f>
        <v>Moderado</v>
      </c>
      <c r="AF12" s="116" t="s">
        <v>131</v>
      </c>
      <c r="AG12" s="121"/>
      <c r="AH12" s="122"/>
      <c r="AI12" s="123"/>
      <c r="AJ12" s="123"/>
      <c r="AK12" s="121"/>
      <c r="AL12" s="122"/>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row>
    <row r="13" spans="1:70" x14ac:dyDescent="0.3">
      <c r="A13" s="211"/>
      <c r="B13" s="225"/>
      <c r="C13" s="222"/>
      <c r="D13" s="212"/>
      <c r="E13" s="204"/>
      <c r="F13" s="204"/>
      <c r="G13" s="212"/>
      <c r="H13" s="206"/>
      <c r="I13" s="213"/>
      <c r="J13" s="200"/>
      <c r="K13" s="201"/>
      <c r="L13" s="203"/>
      <c r="M13" s="201">
        <f>IF(NOT(ISERROR(MATCH(L13,_xlfn.ANCHORARRAY(E24),0))),K26&amp;"Por favor no seleccionar los criterios de impacto",L13)</f>
        <v>0</v>
      </c>
      <c r="N13" s="200"/>
      <c r="O13" s="201"/>
      <c r="P13" s="202"/>
      <c r="Q13" s="113">
        <v>5</v>
      </c>
      <c r="R13" s="114"/>
      <c r="S13" s="115" t="str">
        <f t="shared" si="4"/>
        <v/>
      </c>
      <c r="T13" s="116"/>
      <c r="U13" s="116"/>
      <c r="V13" s="117" t="str">
        <f t="shared" si="5"/>
        <v/>
      </c>
      <c r="W13" s="116"/>
      <c r="X13" s="116"/>
      <c r="Y13" s="116"/>
      <c r="Z13" s="118" t="str">
        <f t="shared" si="6"/>
        <v/>
      </c>
      <c r="AA13" s="119" t="str">
        <f t="shared" si="0"/>
        <v/>
      </c>
      <c r="AB13" s="117" t="str">
        <f t="shared" si="1"/>
        <v/>
      </c>
      <c r="AC13" s="119" t="str">
        <f t="shared" si="2"/>
        <v/>
      </c>
      <c r="AD13" s="117" t="str">
        <f t="shared" si="7"/>
        <v/>
      </c>
      <c r="AE13" s="120" t="str">
        <f t="shared" si="3"/>
        <v/>
      </c>
      <c r="AF13" s="116"/>
      <c r="AG13" s="121"/>
      <c r="AH13" s="122"/>
      <c r="AI13" s="123"/>
      <c r="AJ13" s="123"/>
      <c r="AK13" s="121"/>
      <c r="AL13" s="122"/>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row>
    <row r="14" spans="1:70" ht="73.5" customHeight="1" x14ac:dyDescent="0.3">
      <c r="A14" s="211"/>
      <c r="B14" s="226"/>
      <c r="C14" s="223"/>
      <c r="D14" s="212"/>
      <c r="E14" s="204"/>
      <c r="F14" s="204"/>
      <c r="G14" s="212"/>
      <c r="H14" s="207"/>
      <c r="I14" s="213"/>
      <c r="J14" s="200"/>
      <c r="K14" s="201"/>
      <c r="L14" s="203"/>
      <c r="M14" s="201">
        <f>IF(NOT(ISERROR(MATCH(L14,_xlfn.ANCHORARRAY(E25),0))),K27&amp;"Por favor no seleccionar los criterios de impacto",L14)</f>
        <v>0</v>
      </c>
      <c r="N14" s="200"/>
      <c r="O14" s="201"/>
      <c r="P14" s="202"/>
      <c r="Q14" s="113">
        <v>6</v>
      </c>
      <c r="R14" s="114"/>
      <c r="S14" s="115" t="str">
        <f t="shared" ref="S14" si="8">IF(OR(T14="Preventivo",T14="Detectivo"),"Probabilidad",IF(T14="Correctivo","Impacto",""))</f>
        <v/>
      </c>
      <c r="T14" s="116"/>
      <c r="U14" s="116"/>
      <c r="V14" s="117" t="str">
        <f t="shared" si="5"/>
        <v/>
      </c>
      <c r="W14" s="116"/>
      <c r="X14" s="116"/>
      <c r="Y14" s="116"/>
      <c r="Z14" s="118" t="str">
        <f t="shared" si="6"/>
        <v/>
      </c>
      <c r="AA14" s="119" t="str">
        <f t="shared" si="0"/>
        <v/>
      </c>
      <c r="AB14" s="117" t="str">
        <f t="shared" si="1"/>
        <v/>
      </c>
      <c r="AC14" s="119" t="str">
        <f t="shared" si="2"/>
        <v/>
      </c>
      <c r="AD14" s="117" t="str">
        <f t="shared" si="7"/>
        <v/>
      </c>
      <c r="AE14" s="120" t="str">
        <f t="shared" si="3"/>
        <v/>
      </c>
      <c r="AF14" s="116"/>
      <c r="AG14" s="121"/>
      <c r="AH14" s="122"/>
      <c r="AI14" s="123"/>
      <c r="AJ14" s="123"/>
      <c r="AK14" s="121"/>
      <c r="AL14" s="122"/>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row>
    <row r="15" spans="1:70" ht="75.75" x14ac:dyDescent="0.3">
      <c r="A15" s="211">
        <v>2</v>
      </c>
      <c r="B15" s="224" t="s">
        <v>212</v>
      </c>
      <c r="C15" s="227"/>
      <c r="D15" s="212" t="s">
        <v>227</v>
      </c>
      <c r="E15" s="204"/>
      <c r="F15" s="204"/>
      <c r="G15" s="212" t="s">
        <v>217</v>
      </c>
      <c r="H15" s="205" t="s">
        <v>210</v>
      </c>
      <c r="I15" s="213">
        <v>50</v>
      </c>
      <c r="J15" s="200" t="str">
        <f>IF(I15&lt;=0,"",IF(I15&lt;=2,"Muy Baja",IF(I15&lt;=24,"Baja",IF(I15&lt;=500,"Media",IF(I15&lt;=5000,"Alta","Muy Alta")))))</f>
        <v>Media</v>
      </c>
      <c r="K15" s="201">
        <f>IF(J15="","",IF(J15="Muy Baja",0.2,IF(J15="Baja",0.4,IF(J15="Media",0.6,IF(J15="Alta",0.8,IF(J15="Muy Alta",1,))))))</f>
        <v>0.6</v>
      </c>
      <c r="L15" s="203" t="s">
        <v>139</v>
      </c>
      <c r="M15" s="201" t="str">
        <f>IF(NOT(ISERROR(MATCH(L15,'Tabla Impacto'!$B$221:$B$223,0))),'Tabla Impacto'!$F$223&amp;"Por favor no seleccionar los criterios de impacto(Afectación Económica o presupuestal y Pérdida Reputacional)",L15)</f>
        <v xml:space="preserve">     Afectación menor a 10 SMLMV .</v>
      </c>
      <c r="N15" s="200" t="str">
        <f>IF(OR(M15='Tabla Impacto'!$C$11,M15='Tabla Impacto'!$D$11),"Leve",IF(OR(M15='Tabla Impacto'!$C$12,M15='Tabla Impacto'!$D$12),"Menor",IF(OR(M15='Tabla Impacto'!$C$13,M15='Tabla Impacto'!$D$13),"Moderado",IF(OR(M15='Tabla Impacto'!$C$14,M15='Tabla Impacto'!$D$14),"Mayor",IF(OR(M15='Tabla Impacto'!$C$15,M15='Tabla Impacto'!$D$15),"Catastrófico","")))))</f>
        <v>Leve</v>
      </c>
      <c r="O15" s="201">
        <f>IF(N15="","",IF(N15="Leve",0.2,IF(N15="Menor",0.4,IF(N15="Moderado",0.6,IF(N15="Mayor",0.8,IF(N15="Catastrófico",1,))))))</f>
        <v>0.2</v>
      </c>
      <c r="P15" s="202" t="str">
        <f>IF(OR(AND(J15="Muy Baja",N15="Leve"),AND(J15="Muy Baja",N15="Menor"),AND(J15="Baja",N15="Leve")),"Bajo",IF(OR(AND(J15="Muy baja",N15="Moderado"),AND(J15="Baja",N15="Menor"),AND(J15="Baja",N15="Moderado"),AND(J15="Media",N15="Leve"),AND(J15="Media",N15="Menor"),AND(J15="Media",N15="Moderado"),AND(J15="Alta",N15="Leve"),AND(J15="Alta",N15="Menor")),"Moderado",IF(OR(AND(J15="Muy Baja",N15="Mayor"),AND(J15="Baja",N15="Mayor"),AND(J15="Media",N15="Mayor"),AND(J15="Alta",N15="Moderado"),AND(J15="Alta",N15="Mayor"),AND(J15="Muy Alta",N15="Leve"),AND(J15="Muy Alta",N15="Menor"),AND(J15="Muy Alta",N15="Moderado"),AND(J15="Muy Alta",N15="Mayor")),"Alto",IF(OR(AND(J15="Muy Baja",N15="Catastrófico"),AND(J15="Baja",N15="Catastrófico"),AND(J15="Media",N15="Catastrófico"),AND(J15="Alta",N15="Catastrófico"),AND(J15="Muy Alta",N15="Catastrófico")),"Extremo",""))))</f>
        <v>Moderado</v>
      </c>
      <c r="Q15" s="113">
        <v>1</v>
      </c>
      <c r="R15" s="114"/>
      <c r="S15" s="115" t="str">
        <f>IF(OR(T15="Preventivo",T15="Detectivo"),"Probabilidad",IF(T15="Correctivo","Impacto",""))</f>
        <v>Probabilidad</v>
      </c>
      <c r="T15" s="116" t="s">
        <v>14</v>
      </c>
      <c r="U15" s="116" t="s">
        <v>8</v>
      </c>
      <c r="V15" s="117" t="str">
        <f>IF(AND(T15="Preventivo",U15="Automático"),"50%",IF(AND(T15="Preventivo",U15="Manual"),"40%",IF(AND(T15="Detectivo",U15="Automático"),"40%",IF(AND(T15="Detectivo",U15="Manual"),"30%",IF(AND(T15="Correctivo",U15="Automático"),"35%",IF(AND(T15="Correctivo",U15="Manual"),"25%",""))))))</f>
        <v>30%</v>
      </c>
      <c r="W15" s="116" t="s">
        <v>18</v>
      </c>
      <c r="X15" s="116" t="s">
        <v>21</v>
      </c>
      <c r="Y15" s="116" t="s">
        <v>116</v>
      </c>
      <c r="Z15" s="118">
        <f>IFERROR(IF(S15="Probabilidad",(K15-(+K15*V15)),IF(S15="Impacto",K15,"")),"")</f>
        <v>0.42</v>
      </c>
      <c r="AA15" s="119" t="str">
        <f>IFERROR(IF(Z15="","",IF(Z15&lt;=0.2,"Muy Baja",IF(Z15&lt;=0.4,"Baja",IF(Z15&lt;=0.6,"Media",IF(Z15&lt;=0.8,"Alta","Muy Alta"))))),"")</f>
        <v>Media</v>
      </c>
      <c r="AB15" s="117">
        <f>+Z15</f>
        <v>0.42</v>
      </c>
      <c r="AC15" s="119" t="str">
        <f>IFERROR(IF(AD15="","",IF(AD15&lt;=0.2,"Leve",IF(AD15&lt;=0.4,"Menor",IF(AD15&lt;=0.6,"Moderado",IF(AD15&lt;=0.8,"Mayor","Catastrófico"))))),"")</f>
        <v>Leve</v>
      </c>
      <c r="AD15" s="117">
        <f>IFERROR(IF(S15="Impacto",(O15-(+O15*V15)),IF(S15="Probabilidad",O15,"")),"")</f>
        <v>0.2</v>
      </c>
      <c r="AE15" s="120" t="str">
        <f>IFERROR(IF(OR(AND(AA15="Muy Baja",AC15="Leve"),AND(AA15="Muy Baja",AC15="Menor"),AND(AA15="Baja",AC15="Leve")),"Bajo",IF(OR(AND(AA15="Muy baja",AC15="Moderado"),AND(AA15="Baja",AC15="Menor"),AND(AA15="Baja",AC15="Moderado"),AND(AA15="Media",AC15="Leve"),AND(AA15="Media",AC15="Menor"),AND(AA15="Media",AC15="Moderado"),AND(AA15="Alta",AC15="Leve"),AND(AA15="Alta",AC15="Menor")),"Moderado",IF(OR(AND(AA15="Muy Baja",AC15="Mayor"),AND(AA15="Baja",AC15="Mayor"),AND(AA15="Media",AC15="Mayor"),AND(AA15="Alta",AC15="Moderado"),AND(AA15="Alta",AC15="Mayor"),AND(AA15="Muy Alta",AC15="Leve"),AND(AA15="Muy Alta",AC15="Menor"),AND(AA15="Muy Alta",AC15="Moderado"),AND(AA15="Muy Alta",AC15="Mayor")),"Alto",IF(OR(AND(AA15="Muy Baja",AC15="Catastrófico"),AND(AA15="Baja",AC15="Catastrófico"),AND(AA15="Media",AC15="Catastrófico"),AND(AA15="Alta",AC15="Catastrófico"),AND(AA15="Muy Alta",AC15="Catastrófico")),"Extremo","")))),"")</f>
        <v>Moderado</v>
      </c>
      <c r="AF15" s="116" t="s">
        <v>130</v>
      </c>
      <c r="AG15" s="121"/>
      <c r="AH15" s="149"/>
      <c r="AI15" s="123">
        <v>44423</v>
      </c>
      <c r="AJ15" s="123" t="s">
        <v>213</v>
      </c>
      <c r="AK15" s="121"/>
      <c r="AL15" s="122"/>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row>
    <row r="16" spans="1:70" ht="14.45" customHeight="1" x14ac:dyDescent="0.3">
      <c r="A16" s="211"/>
      <c r="B16" s="225"/>
      <c r="C16" s="228"/>
      <c r="D16" s="212"/>
      <c r="E16" s="204"/>
      <c r="F16" s="204"/>
      <c r="G16" s="212"/>
      <c r="H16" s="206"/>
      <c r="I16" s="213"/>
      <c r="J16" s="200"/>
      <c r="K16" s="201"/>
      <c r="L16" s="203"/>
      <c r="M16" s="201">
        <f>IF(NOT(ISERROR(MATCH(L16,_xlfn.ANCHORARRAY(E27),0))),K29&amp;"Por favor no seleccionar los criterios de impacto",L16)</f>
        <v>0</v>
      </c>
      <c r="N16" s="200"/>
      <c r="O16" s="201"/>
      <c r="P16" s="202"/>
      <c r="Q16" s="113">
        <v>2</v>
      </c>
      <c r="R16" s="114"/>
      <c r="S16" s="115" t="str">
        <f>IF(OR(T16="Preventivo",T16="Detectivo"),"Probabilidad",IF(T16="Correctivo","Impacto",""))</f>
        <v/>
      </c>
      <c r="T16" s="116"/>
      <c r="U16" s="116"/>
      <c r="V16" s="117" t="str">
        <f t="shared" ref="V16:V20" si="9">IF(AND(T16="Preventivo",U16="Automático"),"50%",IF(AND(T16="Preventivo",U16="Manual"),"40%",IF(AND(T16="Detectivo",U16="Automático"),"40%",IF(AND(T16="Detectivo",U16="Manual"),"30%",IF(AND(T16="Correctivo",U16="Automático"),"35%",IF(AND(T16="Correctivo",U16="Manual"),"25%",""))))))</f>
        <v/>
      </c>
      <c r="W16" s="116"/>
      <c r="X16" s="116"/>
      <c r="Y16" s="116"/>
      <c r="Z16" s="118" t="str">
        <f>IFERROR(IF(AND(S15="Probabilidad",S16="Probabilidad"),(AB15-(+AB15*V16)),IF(S16="Probabilidad",(K15-(+K15*V16)),IF(S16="Impacto",AB15,""))),"")</f>
        <v/>
      </c>
      <c r="AA16" s="119" t="str">
        <f t="shared" si="0"/>
        <v/>
      </c>
      <c r="AB16" s="117" t="str">
        <f t="shared" ref="AB16:AB20" si="10">+Z16</f>
        <v/>
      </c>
      <c r="AC16" s="119" t="str">
        <f t="shared" si="2"/>
        <v/>
      </c>
      <c r="AD16" s="117" t="str">
        <f>IFERROR(IF(AND(S15="Impacto",S16="Impacto"),(AD9-(+AD9*V16)),IF(S16="Impacto",($O$15-(+$O$15*V16)),IF(S16="Probabilidad",AD9,""))),"")</f>
        <v/>
      </c>
      <c r="AE16" s="120" t="str">
        <f t="shared" ref="AE16:AE17" si="11">IFERROR(IF(OR(AND(AA16="Muy Baja",AC16="Leve"),AND(AA16="Muy Baja",AC16="Menor"),AND(AA16="Baja",AC16="Leve")),"Bajo",IF(OR(AND(AA16="Muy baja",AC16="Moderado"),AND(AA16="Baja",AC16="Menor"),AND(AA16="Baja",AC16="Moderado"),AND(AA16="Media",AC16="Leve"),AND(AA16="Media",AC16="Menor"),AND(AA16="Media",AC16="Moderado"),AND(AA16="Alta",AC16="Leve"),AND(AA16="Alta",AC16="Menor")),"Moderado",IF(OR(AND(AA16="Muy Baja",AC16="Mayor"),AND(AA16="Baja",AC16="Mayor"),AND(AA16="Media",AC16="Mayor"),AND(AA16="Alta",AC16="Moderado"),AND(AA16="Alta",AC16="Mayor"),AND(AA16="Muy Alta",AC16="Leve"),AND(AA16="Muy Alta",AC16="Menor"),AND(AA16="Muy Alta",AC16="Moderado"),AND(AA16="Muy Alta",AC16="Mayor")),"Alto",IF(OR(AND(AA16="Muy Baja",AC16="Catastrófico"),AND(AA16="Baja",AC16="Catastrófico"),AND(AA16="Media",AC16="Catastrófico"),AND(AA16="Alta",AC16="Catastrófico"),AND(AA16="Muy Alta",AC16="Catastrófico")),"Extremo","")))),"")</f>
        <v/>
      </c>
      <c r="AF16" s="116"/>
      <c r="AG16" s="121"/>
      <c r="AH16" s="122"/>
      <c r="AI16" s="123"/>
      <c r="AJ16" s="123"/>
      <c r="AK16" s="121"/>
      <c r="AL16" s="122"/>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row>
    <row r="17" spans="1:70" ht="14.45" customHeight="1" x14ac:dyDescent="0.3">
      <c r="A17" s="211"/>
      <c r="B17" s="225"/>
      <c r="C17" s="228"/>
      <c r="D17" s="212"/>
      <c r="E17" s="204"/>
      <c r="F17" s="204"/>
      <c r="G17" s="212"/>
      <c r="H17" s="206"/>
      <c r="I17" s="213"/>
      <c r="J17" s="200"/>
      <c r="K17" s="201"/>
      <c r="L17" s="203"/>
      <c r="M17" s="201">
        <f>IF(NOT(ISERROR(MATCH(L17,_xlfn.ANCHORARRAY(E28),0))),K30&amp;"Por favor no seleccionar los criterios de impacto",L17)</f>
        <v>0</v>
      </c>
      <c r="N17" s="200"/>
      <c r="O17" s="201"/>
      <c r="P17" s="202"/>
      <c r="Q17" s="113">
        <v>3</v>
      </c>
      <c r="R17" s="126"/>
      <c r="S17" s="115" t="str">
        <f>IF(OR(T17="Preventivo",T17="Detectivo"),"Probabilidad",IF(T17="Correctivo","Impacto",""))</f>
        <v/>
      </c>
      <c r="T17" s="116"/>
      <c r="U17" s="116"/>
      <c r="V17" s="117" t="str">
        <f t="shared" si="9"/>
        <v/>
      </c>
      <c r="W17" s="116"/>
      <c r="X17" s="116"/>
      <c r="Y17" s="116"/>
      <c r="Z17" s="118" t="str">
        <f>IFERROR(IF(AND(S16="Probabilidad",S17="Probabilidad"),(AB16-(+AB16*V17)),IF(AND(S16="Impacto",S17="Probabilidad"),(AB15-(+AB15*V17)),IF(S17="Impacto",AB16,""))),"")</f>
        <v/>
      </c>
      <c r="AA17" s="119" t="str">
        <f t="shared" si="0"/>
        <v/>
      </c>
      <c r="AB17" s="117" t="str">
        <f t="shared" si="10"/>
        <v/>
      </c>
      <c r="AC17" s="119" t="str">
        <f t="shared" si="2"/>
        <v/>
      </c>
      <c r="AD17" s="117" t="str">
        <f>IFERROR(IF(AND(S16="Impacto",S17="Impacto"),(AD16-(+AD16*V17)),IF(AND(S16="Probabilidad",S17="Impacto"),(AD15-(+AD15*V17)),IF(S17="Probabilidad",AD16,""))),"")</f>
        <v/>
      </c>
      <c r="AE17" s="120" t="str">
        <f t="shared" si="11"/>
        <v/>
      </c>
      <c r="AF17" s="116"/>
      <c r="AG17" s="121"/>
      <c r="AH17" s="122"/>
      <c r="AI17" s="123"/>
      <c r="AJ17" s="123"/>
      <c r="AK17" s="121"/>
      <c r="AL17" s="122"/>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row>
    <row r="18" spans="1:70" ht="14.45" customHeight="1" x14ac:dyDescent="0.3">
      <c r="A18" s="211"/>
      <c r="B18" s="225"/>
      <c r="C18" s="228"/>
      <c r="D18" s="212"/>
      <c r="E18" s="204"/>
      <c r="F18" s="204"/>
      <c r="G18" s="212"/>
      <c r="H18" s="206"/>
      <c r="I18" s="213"/>
      <c r="J18" s="200"/>
      <c r="K18" s="201"/>
      <c r="L18" s="203"/>
      <c r="M18" s="201">
        <f>IF(NOT(ISERROR(MATCH(L18,_xlfn.ANCHORARRAY(E29),0))),K31&amp;"Por favor no seleccionar los criterios de impacto",L18)</f>
        <v>0</v>
      </c>
      <c r="N18" s="200"/>
      <c r="O18" s="201"/>
      <c r="P18" s="202"/>
      <c r="Q18" s="113">
        <v>4</v>
      </c>
      <c r="R18" s="114"/>
      <c r="S18" s="115" t="str">
        <f t="shared" ref="S18:S20" si="12">IF(OR(T18="Preventivo",T18="Detectivo"),"Probabilidad",IF(T18="Correctivo","Impacto",""))</f>
        <v/>
      </c>
      <c r="T18" s="116"/>
      <c r="U18" s="116"/>
      <c r="V18" s="117" t="str">
        <f t="shared" si="9"/>
        <v/>
      </c>
      <c r="W18" s="116"/>
      <c r="X18" s="116"/>
      <c r="Y18" s="116"/>
      <c r="Z18" s="118" t="str">
        <f t="shared" ref="Z18:Z20" si="13">IFERROR(IF(AND(S17="Probabilidad",S18="Probabilidad"),(AB17-(+AB17*V18)),IF(AND(S17="Impacto",S18="Probabilidad"),(AB16-(+AB16*V18)),IF(S18="Impacto",AB17,""))),"")</f>
        <v/>
      </c>
      <c r="AA18" s="119" t="str">
        <f t="shared" si="0"/>
        <v/>
      </c>
      <c r="AB18" s="117" t="str">
        <f t="shared" si="10"/>
        <v/>
      </c>
      <c r="AC18" s="119" t="str">
        <f t="shared" si="2"/>
        <v/>
      </c>
      <c r="AD18" s="117" t="str">
        <f t="shared" ref="AD18:AD20" si="14">IFERROR(IF(AND(S17="Impacto",S18="Impacto"),(AD17-(+AD17*V18)),IF(AND(S17="Probabilidad",S18="Impacto"),(AD16-(+AD16*V18)),IF(S18="Probabilidad",AD17,""))),"")</f>
        <v/>
      </c>
      <c r="AE18" s="120" t="str">
        <f>IFERROR(IF(OR(AND(AA18="Muy Baja",AC18="Leve"),AND(AA18="Muy Baja",AC18="Menor"),AND(AA18="Baja",AC18="Leve")),"Bajo",IF(OR(AND(AA18="Muy baja",AC18="Moderado"),AND(AA18="Baja",AC18="Menor"),AND(AA18="Baja",AC18="Moderado"),AND(AA18="Media",AC18="Leve"),AND(AA18="Media",AC18="Menor"),AND(AA18="Media",AC18="Moderado"),AND(AA18="Alta",AC18="Leve"),AND(AA18="Alta",AC18="Menor")),"Moderado",IF(OR(AND(AA18="Muy Baja",AC18="Mayor"),AND(AA18="Baja",AC18="Mayor"),AND(AA18="Media",AC18="Mayor"),AND(AA18="Alta",AC18="Moderado"),AND(AA18="Alta",AC18="Mayor"),AND(AA18="Muy Alta",AC18="Leve"),AND(AA18="Muy Alta",AC18="Menor"),AND(AA18="Muy Alta",AC18="Moderado"),AND(AA18="Muy Alta",AC18="Mayor")),"Alto",IF(OR(AND(AA18="Muy Baja",AC18="Catastrófico"),AND(AA18="Baja",AC18="Catastrófico"),AND(AA18="Media",AC18="Catastrófico"),AND(AA18="Alta",AC18="Catastrófico"),AND(AA18="Muy Alta",AC18="Catastrófico")),"Extremo","")))),"")</f>
        <v/>
      </c>
      <c r="AF18" s="116"/>
      <c r="AG18" s="121"/>
      <c r="AH18" s="122"/>
      <c r="AI18" s="123"/>
      <c r="AJ18" s="123"/>
      <c r="AK18" s="121"/>
      <c r="AL18" s="122"/>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row>
    <row r="19" spans="1:70" ht="14.45" customHeight="1" x14ac:dyDescent="0.3">
      <c r="A19" s="211"/>
      <c r="B19" s="225"/>
      <c r="C19" s="228"/>
      <c r="D19" s="212"/>
      <c r="E19" s="204"/>
      <c r="F19" s="204"/>
      <c r="G19" s="212"/>
      <c r="H19" s="206"/>
      <c r="I19" s="213"/>
      <c r="J19" s="200"/>
      <c r="K19" s="201"/>
      <c r="L19" s="203"/>
      <c r="M19" s="201">
        <f>IF(NOT(ISERROR(MATCH(L19,_xlfn.ANCHORARRAY(E30),0))),K32&amp;"Por favor no seleccionar los criterios de impacto",L19)</f>
        <v>0</v>
      </c>
      <c r="N19" s="200"/>
      <c r="O19" s="201"/>
      <c r="P19" s="202"/>
      <c r="Q19" s="113">
        <v>5</v>
      </c>
      <c r="R19" s="114"/>
      <c r="S19" s="115" t="str">
        <f t="shared" si="12"/>
        <v/>
      </c>
      <c r="T19" s="116"/>
      <c r="U19" s="116"/>
      <c r="V19" s="117" t="str">
        <f t="shared" si="9"/>
        <v/>
      </c>
      <c r="W19" s="116"/>
      <c r="X19" s="116"/>
      <c r="Y19" s="116"/>
      <c r="Z19" s="118" t="str">
        <f t="shared" si="13"/>
        <v/>
      </c>
      <c r="AA19" s="119" t="str">
        <f t="shared" si="0"/>
        <v/>
      </c>
      <c r="AB19" s="117" t="str">
        <f t="shared" si="10"/>
        <v/>
      </c>
      <c r="AC19" s="119" t="str">
        <f t="shared" si="2"/>
        <v/>
      </c>
      <c r="AD19" s="117" t="str">
        <f t="shared" si="14"/>
        <v/>
      </c>
      <c r="AE19" s="120" t="str">
        <f t="shared" ref="AE19:AE20" si="15">IFERROR(IF(OR(AND(AA19="Muy Baja",AC19="Leve"),AND(AA19="Muy Baja",AC19="Menor"),AND(AA19="Baja",AC19="Leve")),"Bajo",IF(OR(AND(AA19="Muy baja",AC19="Moderado"),AND(AA19="Baja",AC19="Menor"),AND(AA19="Baja",AC19="Moderado"),AND(AA19="Media",AC19="Leve"),AND(AA19="Media",AC19="Menor"),AND(AA19="Media",AC19="Moderado"),AND(AA19="Alta",AC19="Leve"),AND(AA19="Alta",AC19="Menor")),"Moderado",IF(OR(AND(AA19="Muy Baja",AC19="Mayor"),AND(AA19="Baja",AC19="Mayor"),AND(AA19="Media",AC19="Mayor"),AND(AA19="Alta",AC19="Moderado"),AND(AA19="Alta",AC19="Mayor"),AND(AA19="Muy Alta",AC19="Leve"),AND(AA19="Muy Alta",AC19="Menor"),AND(AA19="Muy Alta",AC19="Moderado"),AND(AA19="Muy Alta",AC19="Mayor")),"Alto",IF(OR(AND(AA19="Muy Baja",AC19="Catastrófico"),AND(AA19="Baja",AC19="Catastrófico"),AND(AA19="Media",AC19="Catastrófico"),AND(AA19="Alta",AC19="Catastrófico"),AND(AA19="Muy Alta",AC19="Catastrófico")),"Extremo","")))),"")</f>
        <v/>
      </c>
      <c r="AF19" s="116"/>
      <c r="AG19" s="121"/>
      <c r="AH19" s="122"/>
      <c r="AI19" s="123"/>
      <c r="AJ19" s="123"/>
      <c r="AK19" s="121"/>
      <c r="AL19" s="122"/>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row>
    <row r="20" spans="1:70" ht="65.25" customHeight="1" x14ac:dyDescent="0.3">
      <c r="A20" s="211"/>
      <c r="B20" s="226"/>
      <c r="C20" s="229"/>
      <c r="D20" s="212"/>
      <c r="E20" s="204"/>
      <c r="F20" s="204"/>
      <c r="G20" s="212"/>
      <c r="H20" s="207"/>
      <c r="I20" s="213"/>
      <c r="J20" s="200"/>
      <c r="K20" s="201"/>
      <c r="L20" s="203"/>
      <c r="M20" s="201">
        <f>IF(NOT(ISERROR(MATCH(L20,_xlfn.ANCHORARRAY(E31),0))),K33&amp;"Por favor no seleccionar los criterios de impacto",L20)</f>
        <v>0</v>
      </c>
      <c r="N20" s="200"/>
      <c r="O20" s="201"/>
      <c r="P20" s="202"/>
      <c r="Q20" s="113">
        <v>6</v>
      </c>
      <c r="R20" s="114"/>
      <c r="S20" s="115" t="str">
        <f t="shared" si="12"/>
        <v/>
      </c>
      <c r="T20" s="116"/>
      <c r="U20" s="116"/>
      <c r="V20" s="117" t="str">
        <f t="shared" si="9"/>
        <v/>
      </c>
      <c r="W20" s="116"/>
      <c r="X20" s="116"/>
      <c r="Y20" s="116"/>
      <c r="Z20" s="118" t="str">
        <f t="shared" si="13"/>
        <v/>
      </c>
      <c r="AA20" s="119" t="str">
        <f t="shared" si="0"/>
        <v/>
      </c>
      <c r="AB20" s="117" t="str">
        <f t="shared" si="10"/>
        <v/>
      </c>
      <c r="AC20" s="119" t="str">
        <f t="shared" si="2"/>
        <v/>
      </c>
      <c r="AD20" s="117" t="str">
        <f t="shared" si="14"/>
        <v/>
      </c>
      <c r="AE20" s="120" t="str">
        <f t="shared" si="15"/>
        <v/>
      </c>
      <c r="AF20" s="116"/>
      <c r="AG20" s="121"/>
      <c r="AH20" s="122"/>
      <c r="AI20" s="123"/>
      <c r="AJ20" s="123"/>
      <c r="AK20" s="121"/>
      <c r="AL20" s="122"/>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row>
    <row r="21" spans="1:70" x14ac:dyDescent="0.3">
      <c r="A21" s="211">
        <v>3</v>
      </c>
      <c r="B21" s="215"/>
      <c r="C21" s="215"/>
      <c r="D21" s="212"/>
      <c r="E21" s="204"/>
      <c r="F21" s="208"/>
      <c r="G21" s="212"/>
      <c r="H21" s="205"/>
      <c r="I21" s="213"/>
      <c r="J21" s="200" t="str">
        <f>IF(I21&lt;=0,"",IF(I21&lt;=2,"Muy Baja",IF(I21&lt;=24,"Baja",IF(I21&lt;=500,"Media",IF(I21&lt;=5000,"Alta","Muy Alta")))))</f>
        <v/>
      </c>
      <c r="K21" s="201" t="str">
        <f>IF(J21="","",IF(J21="Muy Baja",0.2,IF(J21="Baja",0.4,IF(J21="Media",0.6,IF(J21="Alta",0.8,IF(J21="Muy Alta",1,))))))</f>
        <v/>
      </c>
      <c r="L21" s="203"/>
      <c r="M21" s="201">
        <f>IF(NOT(ISERROR(MATCH(L21,'Tabla Impacto'!$B$221:$B$223,0))),'Tabla Impacto'!$F$223&amp;"Por favor no seleccionar los criterios de impacto(Afectación Económica o presupuestal y Pérdida Reputacional)",L21)</f>
        <v>0</v>
      </c>
      <c r="N21" s="200" t="str">
        <f>IF(OR(M21='Tabla Impacto'!$C$11,M21='Tabla Impacto'!$D$11),"Leve",IF(OR(M21='Tabla Impacto'!$C$12,M21='Tabla Impacto'!$D$12),"Menor",IF(OR(M21='Tabla Impacto'!$C$13,M21='Tabla Impacto'!$D$13),"Moderado",IF(OR(M21='Tabla Impacto'!$C$14,M21='Tabla Impacto'!$D$14),"Mayor",IF(OR(M21='Tabla Impacto'!$C$15,M21='Tabla Impacto'!$D$15),"Catastrófico","")))))</f>
        <v/>
      </c>
      <c r="O21" s="201" t="str">
        <f>IF(N21="","",IF(N21="Leve",0.2,IF(N21="Menor",0.4,IF(N21="Moderado",0.6,IF(N21="Mayor",0.8,IF(N21="Catastrófico",1,))))))</f>
        <v/>
      </c>
      <c r="P21" s="202" t="str">
        <f>IF(OR(AND(J21="Muy Baja",N21="Leve"),AND(J21="Muy Baja",N21="Menor"),AND(J21="Baja",N21="Leve")),"Bajo",IF(OR(AND(J21="Muy baja",N21="Moderado"),AND(J21="Baja",N21="Menor"),AND(J21="Baja",N21="Moderado"),AND(J21="Media",N21="Leve"),AND(J21="Media",N21="Menor"),AND(J21="Media",N21="Moderado"),AND(J21="Alta",N21="Leve"),AND(J21="Alta",N21="Menor")),"Moderado",IF(OR(AND(J21="Muy Baja",N21="Mayor"),AND(J21="Baja",N21="Mayor"),AND(J21="Media",N21="Mayor"),AND(J21="Alta",N21="Moderado"),AND(J21="Alta",N21="Mayor"),AND(J21="Muy Alta",N21="Leve"),AND(J21="Muy Alta",N21="Menor"),AND(J21="Muy Alta",N21="Moderado"),AND(J21="Muy Alta",N21="Mayor")),"Alto",IF(OR(AND(J21="Muy Baja",N21="Catastrófico"),AND(J21="Baja",N21="Catastrófico"),AND(J21="Media",N21="Catastrófico"),AND(J21="Alta",N21="Catastrófico"),AND(J21="Muy Alta",N21="Catastrófico")),"Extremo",""))))</f>
        <v/>
      </c>
      <c r="Q21" s="113">
        <v>1</v>
      </c>
      <c r="R21" s="114"/>
      <c r="S21" s="115" t="str">
        <f>IF(OR(T21="Preventivo",T21="Detectivo"),"Probabilidad",IF(T21="Correctivo","Impacto",""))</f>
        <v/>
      </c>
      <c r="T21" s="116"/>
      <c r="U21" s="116"/>
      <c r="V21" s="117" t="str">
        <f>IF(AND(T21="Preventivo",U21="Automático"),"50%",IF(AND(T21="Preventivo",U21="Manual"),"40%",IF(AND(T21="Detectivo",U21="Automático"),"40%",IF(AND(T21="Detectivo",U21="Manual"),"30%",IF(AND(T21="Correctivo",U21="Automático"),"35%",IF(AND(T21="Correctivo",U21="Manual"),"25%",""))))))</f>
        <v/>
      </c>
      <c r="W21" s="116"/>
      <c r="X21" s="116"/>
      <c r="Y21" s="116"/>
      <c r="Z21" s="118" t="str">
        <f>IFERROR(IF(S21="Probabilidad",(K21-(+K21*V21)),IF(S21="Impacto",K21,"")),"")</f>
        <v/>
      </c>
      <c r="AA21" s="119" t="str">
        <f>IFERROR(IF(Z21="","",IF(Z21&lt;=0.2,"Muy Baja",IF(Z21&lt;=0.4,"Baja",IF(Z21&lt;=0.6,"Media",IF(Z21&lt;=0.8,"Alta","Muy Alta"))))),"")</f>
        <v/>
      </c>
      <c r="AB21" s="117" t="str">
        <f>+Z21</f>
        <v/>
      </c>
      <c r="AC21" s="119" t="str">
        <f>IFERROR(IF(AD21="","",IF(AD21&lt;=0.2,"Leve",IF(AD21&lt;=0.4,"Menor",IF(AD21&lt;=0.6,"Moderado",IF(AD21&lt;=0.8,"Mayor","Catastrófico"))))),"")</f>
        <v/>
      </c>
      <c r="AD21" s="117" t="str">
        <f>IFERROR(IF(S21="Impacto",(O21-(+O21*V21)),IF(S21="Probabilidad",O21,"")),"")</f>
        <v/>
      </c>
      <c r="AE21" s="120" t="str">
        <f>IFERROR(IF(OR(AND(AA21="Muy Baja",AC21="Leve"),AND(AA21="Muy Baja",AC21="Menor"),AND(AA21="Baja",AC21="Leve")),"Bajo",IF(OR(AND(AA21="Muy baja",AC21="Moderado"),AND(AA21="Baja",AC21="Menor"),AND(AA21="Baja",AC21="Moderado"),AND(AA21="Media",AC21="Leve"),AND(AA21="Media",AC21="Menor"),AND(AA21="Media",AC21="Moderado"),AND(AA21="Alta",AC21="Leve"),AND(AA21="Alta",AC21="Menor")),"Moderado",IF(OR(AND(AA21="Muy Baja",AC21="Mayor"),AND(AA21="Baja",AC21="Mayor"),AND(AA21="Media",AC21="Mayor"),AND(AA21="Alta",AC21="Moderado"),AND(AA21="Alta",AC21="Mayor"),AND(AA21="Muy Alta",AC21="Leve"),AND(AA21="Muy Alta",AC21="Menor"),AND(AA21="Muy Alta",AC21="Moderado"),AND(AA21="Muy Alta",AC21="Mayor")),"Alto",IF(OR(AND(AA21="Muy Baja",AC21="Catastrófico"),AND(AA21="Baja",AC21="Catastrófico"),AND(AA21="Media",AC21="Catastrófico"),AND(AA21="Alta",AC21="Catastrófico"),AND(AA21="Muy Alta",AC21="Catastrófico")),"Extremo","")))),"")</f>
        <v/>
      </c>
      <c r="AF21" s="116"/>
      <c r="AG21" s="121"/>
      <c r="AH21" s="122"/>
      <c r="AI21" s="123"/>
      <c r="AJ21" s="123"/>
      <c r="AK21" s="121"/>
      <c r="AL21" s="122"/>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row>
    <row r="22" spans="1:70" ht="14.45" customHeight="1" x14ac:dyDescent="0.3">
      <c r="A22" s="211"/>
      <c r="B22" s="216"/>
      <c r="C22" s="216"/>
      <c r="D22" s="212"/>
      <c r="E22" s="204"/>
      <c r="F22" s="209"/>
      <c r="G22" s="212"/>
      <c r="H22" s="206"/>
      <c r="I22" s="213"/>
      <c r="J22" s="200"/>
      <c r="K22" s="201"/>
      <c r="L22" s="203"/>
      <c r="M22" s="201">
        <f t="shared" ref="M22:M26" si="16">IF(NOT(ISERROR(MATCH(L22,_xlfn.ANCHORARRAY(E33),0))),K35&amp;"Por favor no seleccionar los criterios de impacto",L22)</f>
        <v>0</v>
      </c>
      <c r="N22" s="200"/>
      <c r="O22" s="201"/>
      <c r="P22" s="202"/>
      <c r="Q22" s="113">
        <v>2</v>
      </c>
      <c r="R22" s="114"/>
      <c r="S22" s="115" t="str">
        <f>IF(OR(T22="Preventivo",T22="Detectivo"),"Probabilidad",IF(T22="Correctivo","Impacto",""))</f>
        <v/>
      </c>
      <c r="T22" s="116"/>
      <c r="U22" s="116"/>
      <c r="V22" s="117" t="str">
        <f t="shared" ref="V22:V26" si="17">IF(AND(T22="Preventivo",U22="Automático"),"50%",IF(AND(T22="Preventivo",U22="Manual"),"40%",IF(AND(T22="Detectivo",U22="Automático"),"40%",IF(AND(T22="Detectivo",U22="Manual"),"30%",IF(AND(T22="Correctivo",U22="Automático"),"35%",IF(AND(T22="Correctivo",U22="Manual"),"25%",""))))))</f>
        <v/>
      </c>
      <c r="W22" s="116"/>
      <c r="X22" s="116"/>
      <c r="Y22" s="116"/>
      <c r="Z22" s="127" t="str">
        <f>IFERROR(IF(AND(S21="Probabilidad",S22="Probabilidad"),(AB21-(+AB21*V22)),IF(S22="Probabilidad",(K21-(+K21*V22)),IF(S22="Impacto",AB21,""))),"")</f>
        <v/>
      </c>
      <c r="AA22" s="119" t="str">
        <f t="shared" si="0"/>
        <v/>
      </c>
      <c r="AB22" s="117" t="str">
        <f t="shared" ref="AB22:AB26" si="18">+Z22</f>
        <v/>
      </c>
      <c r="AC22" s="119" t="str">
        <f t="shared" si="2"/>
        <v/>
      </c>
      <c r="AD22" s="117" t="str">
        <f>IFERROR(IF(AND(S21="Impacto",S22="Impacto"),(AD15-(+AD15*V22)),IF(S22="Impacto",($O$21-(+$O$21*V22)),IF(S22="Probabilidad",AD15,""))),"")</f>
        <v/>
      </c>
      <c r="AE22" s="120" t="str">
        <f t="shared" ref="AE22:AE23" si="19">IFERROR(IF(OR(AND(AA22="Muy Baja",AC22="Leve"),AND(AA22="Muy Baja",AC22="Menor"),AND(AA22="Baja",AC22="Leve")),"Bajo",IF(OR(AND(AA22="Muy baja",AC22="Moderado"),AND(AA22="Baja",AC22="Menor"),AND(AA22="Baja",AC22="Moderado"),AND(AA22="Media",AC22="Leve"),AND(AA22="Media",AC22="Menor"),AND(AA22="Media",AC22="Moderado"),AND(AA22="Alta",AC22="Leve"),AND(AA22="Alta",AC22="Menor")),"Moderado",IF(OR(AND(AA22="Muy Baja",AC22="Mayor"),AND(AA22="Baja",AC22="Mayor"),AND(AA22="Media",AC22="Mayor"),AND(AA22="Alta",AC22="Moderado"),AND(AA22="Alta",AC22="Mayor"),AND(AA22="Muy Alta",AC22="Leve"),AND(AA22="Muy Alta",AC22="Menor"),AND(AA22="Muy Alta",AC22="Moderado"),AND(AA22="Muy Alta",AC22="Mayor")),"Alto",IF(OR(AND(AA22="Muy Baja",AC22="Catastrófico"),AND(AA22="Baja",AC22="Catastrófico"),AND(AA22="Media",AC22="Catastrófico"),AND(AA22="Alta",AC22="Catastrófico"),AND(AA22="Muy Alta",AC22="Catastrófico")),"Extremo","")))),"")</f>
        <v/>
      </c>
      <c r="AF22" s="116"/>
      <c r="AG22" s="121"/>
      <c r="AH22" s="122"/>
      <c r="AI22" s="123"/>
      <c r="AJ22" s="123"/>
      <c r="AK22" s="121"/>
      <c r="AL22" s="122"/>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row>
    <row r="23" spans="1:70" ht="14.45" customHeight="1" x14ac:dyDescent="0.3">
      <c r="A23" s="211"/>
      <c r="B23" s="216"/>
      <c r="C23" s="216"/>
      <c r="D23" s="212"/>
      <c r="E23" s="204"/>
      <c r="F23" s="209"/>
      <c r="G23" s="212"/>
      <c r="H23" s="206"/>
      <c r="I23" s="213"/>
      <c r="J23" s="200"/>
      <c r="K23" s="201"/>
      <c r="L23" s="203"/>
      <c r="M23" s="201">
        <f t="shared" si="16"/>
        <v>0</v>
      </c>
      <c r="N23" s="200"/>
      <c r="O23" s="201"/>
      <c r="P23" s="202"/>
      <c r="Q23" s="113">
        <v>3</v>
      </c>
      <c r="R23" s="126"/>
      <c r="S23" s="115" t="str">
        <f>IF(OR(T23="Preventivo",T23="Detectivo"),"Probabilidad",IF(T23="Correctivo","Impacto",""))</f>
        <v/>
      </c>
      <c r="T23" s="116"/>
      <c r="U23" s="116"/>
      <c r="V23" s="117" t="str">
        <f t="shared" si="17"/>
        <v/>
      </c>
      <c r="W23" s="116"/>
      <c r="X23" s="116"/>
      <c r="Y23" s="116"/>
      <c r="Z23" s="118" t="str">
        <f>IFERROR(IF(AND(S22="Probabilidad",S23="Probabilidad"),(AB22-(+AB22*V23)),IF(AND(S22="Impacto",S23="Probabilidad"),(AB21-(+AB21*V23)),IF(S23="Impacto",AB22,""))),"")</f>
        <v/>
      </c>
      <c r="AA23" s="119" t="str">
        <f t="shared" si="0"/>
        <v/>
      </c>
      <c r="AB23" s="117" t="str">
        <f t="shared" si="18"/>
        <v/>
      </c>
      <c r="AC23" s="119" t="str">
        <f t="shared" si="2"/>
        <v/>
      </c>
      <c r="AD23" s="117" t="str">
        <f>IFERROR(IF(AND(S22="Impacto",S23="Impacto"),(AD22-(+AD22*V23)),IF(AND(S22="Probabilidad",S23="Impacto"),(AD21-(+AD21*V23)),IF(S23="Probabilidad",AD22,""))),"")</f>
        <v/>
      </c>
      <c r="AE23" s="120" t="str">
        <f t="shared" si="19"/>
        <v/>
      </c>
      <c r="AF23" s="116"/>
      <c r="AG23" s="121"/>
      <c r="AH23" s="122"/>
      <c r="AI23" s="123"/>
      <c r="AJ23" s="123"/>
      <c r="AK23" s="121"/>
      <c r="AL23" s="122"/>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row>
    <row r="24" spans="1:70" ht="14.45" customHeight="1" x14ac:dyDescent="0.3">
      <c r="A24" s="211"/>
      <c r="B24" s="216"/>
      <c r="C24" s="216"/>
      <c r="D24" s="212"/>
      <c r="E24" s="204"/>
      <c r="F24" s="209"/>
      <c r="G24" s="212"/>
      <c r="H24" s="206"/>
      <c r="I24" s="213"/>
      <c r="J24" s="200"/>
      <c r="K24" s="201"/>
      <c r="L24" s="203"/>
      <c r="M24" s="201">
        <f t="shared" si="16"/>
        <v>0</v>
      </c>
      <c r="N24" s="200"/>
      <c r="O24" s="201"/>
      <c r="P24" s="202"/>
      <c r="Q24" s="113">
        <v>4</v>
      </c>
      <c r="R24" s="114"/>
      <c r="S24" s="115" t="str">
        <f t="shared" ref="S24:S26" si="20">IF(OR(T24="Preventivo",T24="Detectivo"),"Probabilidad",IF(T24="Correctivo","Impacto",""))</f>
        <v/>
      </c>
      <c r="T24" s="116"/>
      <c r="U24" s="116"/>
      <c r="V24" s="117" t="str">
        <f t="shared" si="17"/>
        <v/>
      </c>
      <c r="W24" s="116"/>
      <c r="X24" s="116"/>
      <c r="Y24" s="116"/>
      <c r="Z24" s="118" t="str">
        <f t="shared" ref="Z24:Z26" si="21">IFERROR(IF(AND(S23="Probabilidad",S24="Probabilidad"),(AB23-(+AB23*V24)),IF(AND(S23="Impacto",S24="Probabilidad"),(AB22-(+AB22*V24)),IF(S24="Impacto",AB23,""))),"")</f>
        <v/>
      </c>
      <c r="AA24" s="119" t="str">
        <f t="shared" si="0"/>
        <v/>
      </c>
      <c r="AB24" s="117" t="str">
        <f t="shared" si="18"/>
        <v/>
      </c>
      <c r="AC24" s="119" t="str">
        <f t="shared" si="2"/>
        <v/>
      </c>
      <c r="AD24" s="117" t="str">
        <f t="shared" ref="AD24:AD26" si="22">IFERROR(IF(AND(S23="Impacto",S24="Impacto"),(AD23-(+AD23*V24)),IF(AND(S23="Probabilidad",S24="Impacto"),(AD22-(+AD22*V24)),IF(S24="Probabilidad",AD23,""))),"")</f>
        <v/>
      </c>
      <c r="AE24" s="120" t="str">
        <f>IFERROR(IF(OR(AND(AA24="Muy Baja",AC24="Leve"),AND(AA24="Muy Baja",AC24="Menor"),AND(AA24="Baja",AC24="Leve")),"Bajo",IF(OR(AND(AA24="Muy baja",AC24="Moderado"),AND(AA24="Baja",AC24="Menor"),AND(AA24="Baja",AC24="Moderado"),AND(AA24="Media",AC24="Leve"),AND(AA24="Media",AC24="Menor"),AND(AA24="Media",AC24="Moderado"),AND(AA24="Alta",AC24="Leve"),AND(AA24="Alta",AC24="Menor")),"Moderado",IF(OR(AND(AA24="Muy Baja",AC24="Mayor"),AND(AA24="Baja",AC24="Mayor"),AND(AA24="Media",AC24="Mayor"),AND(AA24="Alta",AC24="Moderado"),AND(AA24="Alta",AC24="Mayor"),AND(AA24="Muy Alta",AC24="Leve"),AND(AA24="Muy Alta",AC24="Menor"),AND(AA24="Muy Alta",AC24="Moderado"),AND(AA24="Muy Alta",AC24="Mayor")),"Alto",IF(OR(AND(AA24="Muy Baja",AC24="Catastrófico"),AND(AA24="Baja",AC24="Catastrófico"),AND(AA24="Media",AC24="Catastrófico"),AND(AA24="Alta",AC24="Catastrófico"),AND(AA24="Muy Alta",AC24="Catastrófico")),"Extremo","")))),"")</f>
        <v/>
      </c>
      <c r="AF24" s="116"/>
      <c r="AG24" s="121"/>
      <c r="AH24" s="122"/>
      <c r="AI24" s="123"/>
      <c r="AJ24" s="123"/>
      <c r="AK24" s="121"/>
      <c r="AL24" s="122"/>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row>
    <row r="25" spans="1:70" ht="14.45" customHeight="1" x14ac:dyDescent="0.3">
      <c r="A25" s="211"/>
      <c r="B25" s="216"/>
      <c r="C25" s="216"/>
      <c r="D25" s="212"/>
      <c r="E25" s="204"/>
      <c r="F25" s="209"/>
      <c r="G25" s="212"/>
      <c r="H25" s="206"/>
      <c r="I25" s="213"/>
      <c r="J25" s="200"/>
      <c r="K25" s="201"/>
      <c r="L25" s="203"/>
      <c r="M25" s="201">
        <f t="shared" si="16"/>
        <v>0</v>
      </c>
      <c r="N25" s="200"/>
      <c r="O25" s="201"/>
      <c r="P25" s="202"/>
      <c r="Q25" s="113">
        <v>5</v>
      </c>
      <c r="R25" s="114"/>
      <c r="S25" s="115" t="str">
        <f t="shared" si="20"/>
        <v/>
      </c>
      <c r="T25" s="116"/>
      <c r="U25" s="116"/>
      <c r="V25" s="117" t="str">
        <f t="shared" si="17"/>
        <v/>
      </c>
      <c r="W25" s="116"/>
      <c r="X25" s="116"/>
      <c r="Y25" s="116"/>
      <c r="Z25" s="118" t="str">
        <f t="shared" si="21"/>
        <v/>
      </c>
      <c r="AA25" s="119" t="str">
        <f t="shared" si="0"/>
        <v/>
      </c>
      <c r="AB25" s="117" t="str">
        <f t="shared" si="18"/>
        <v/>
      </c>
      <c r="AC25" s="119" t="str">
        <f t="shared" si="2"/>
        <v/>
      </c>
      <c r="AD25" s="117" t="str">
        <f t="shared" si="22"/>
        <v/>
      </c>
      <c r="AE25" s="120" t="str">
        <f t="shared" ref="AE25:AE26" si="23">IFERROR(IF(OR(AND(AA25="Muy Baja",AC25="Leve"),AND(AA25="Muy Baja",AC25="Menor"),AND(AA25="Baja",AC25="Leve")),"Bajo",IF(OR(AND(AA25="Muy baja",AC25="Moderado"),AND(AA25="Baja",AC25="Menor"),AND(AA25="Baja",AC25="Moderado"),AND(AA25="Media",AC25="Leve"),AND(AA25="Media",AC25="Menor"),AND(AA25="Media",AC25="Moderado"),AND(AA25="Alta",AC25="Leve"),AND(AA25="Alta",AC25="Menor")),"Moderado",IF(OR(AND(AA25="Muy Baja",AC25="Mayor"),AND(AA25="Baja",AC25="Mayor"),AND(AA25="Media",AC25="Mayor"),AND(AA25="Alta",AC25="Moderado"),AND(AA25="Alta",AC25="Mayor"),AND(AA25="Muy Alta",AC25="Leve"),AND(AA25="Muy Alta",AC25="Menor"),AND(AA25="Muy Alta",AC25="Moderado"),AND(AA25="Muy Alta",AC25="Mayor")),"Alto",IF(OR(AND(AA25="Muy Baja",AC25="Catastrófico"),AND(AA25="Baja",AC25="Catastrófico"),AND(AA25="Media",AC25="Catastrófico"),AND(AA25="Alta",AC25="Catastrófico"),AND(AA25="Muy Alta",AC25="Catastrófico")),"Extremo","")))),"")</f>
        <v/>
      </c>
      <c r="AF25" s="116"/>
      <c r="AG25" s="121"/>
      <c r="AH25" s="122"/>
      <c r="AI25" s="123"/>
      <c r="AJ25" s="123"/>
      <c r="AK25" s="121"/>
      <c r="AL25" s="122"/>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row>
    <row r="26" spans="1:70" ht="14.45" customHeight="1" x14ac:dyDescent="0.3">
      <c r="A26" s="211"/>
      <c r="B26" s="217"/>
      <c r="C26" s="217"/>
      <c r="D26" s="212"/>
      <c r="E26" s="204"/>
      <c r="F26" s="210"/>
      <c r="G26" s="212"/>
      <c r="H26" s="207"/>
      <c r="I26" s="213"/>
      <c r="J26" s="200"/>
      <c r="K26" s="201"/>
      <c r="L26" s="203"/>
      <c r="M26" s="201">
        <f t="shared" si="16"/>
        <v>0</v>
      </c>
      <c r="N26" s="200"/>
      <c r="O26" s="201"/>
      <c r="P26" s="202"/>
      <c r="Q26" s="113">
        <v>6</v>
      </c>
      <c r="R26" s="114"/>
      <c r="S26" s="115" t="str">
        <f t="shared" si="20"/>
        <v/>
      </c>
      <c r="T26" s="116"/>
      <c r="U26" s="116"/>
      <c r="V26" s="117" t="str">
        <f t="shared" si="17"/>
        <v/>
      </c>
      <c r="W26" s="116"/>
      <c r="X26" s="116"/>
      <c r="Y26" s="116"/>
      <c r="Z26" s="118" t="str">
        <f t="shared" si="21"/>
        <v/>
      </c>
      <c r="AA26" s="119" t="str">
        <f t="shared" si="0"/>
        <v/>
      </c>
      <c r="AB26" s="117" t="str">
        <f t="shared" si="18"/>
        <v/>
      </c>
      <c r="AC26" s="119" t="str">
        <f t="shared" si="2"/>
        <v/>
      </c>
      <c r="AD26" s="117" t="str">
        <f t="shared" si="22"/>
        <v/>
      </c>
      <c r="AE26" s="120" t="str">
        <f t="shared" si="23"/>
        <v/>
      </c>
      <c r="AF26" s="116"/>
      <c r="AG26" s="121"/>
      <c r="AH26" s="122"/>
      <c r="AI26" s="123"/>
      <c r="AJ26" s="123"/>
      <c r="AK26" s="121"/>
      <c r="AL26" s="122"/>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row>
    <row r="27" spans="1:70" x14ac:dyDescent="0.3">
      <c r="A27" s="211">
        <v>4</v>
      </c>
      <c r="B27" s="215"/>
      <c r="C27" s="215"/>
      <c r="D27" s="212"/>
      <c r="E27" s="204"/>
      <c r="F27" s="208"/>
      <c r="G27" s="212"/>
      <c r="H27" s="205" t="s">
        <v>211</v>
      </c>
      <c r="I27" s="213"/>
      <c r="J27" s="200" t="str">
        <f>IF(I27&lt;=0,"",IF(I27&lt;=2,"Muy Baja",IF(I27&lt;=24,"Baja",IF(I27&lt;=500,"Media",IF(I27&lt;=5000,"Alta","Muy Alta")))))</f>
        <v/>
      </c>
      <c r="K27" s="201" t="str">
        <f>IF(J27="","",IF(J27="Muy Baja",0.2,IF(J27="Baja",0.4,IF(J27="Media",0.6,IF(J27="Alta",0.8,IF(J27="Muy Alta",1,))))))</f>
        <v/>
      </c>
      <c r="L27" s="203"/>
      <c r="M27" s="201">
        <f>IF(NOT(ISERROR(MATCH(L27,'Tabla Impacto'!$B$221:$B$223,0))),'Tabla Impacto'!$F$223&amp;"Por favor no seleccionar los criterios de impacto(Afectación Económica o presupuestal y Pérdida Reputacional)",L27)</f>
        <v>0</v>
      </c>
      <c r="N27" s="200" t="str">
        <f>IF(OR(M27='Tabla Impacto'!$C$11,M27='Tabla Impacto'!$D$11),"Leve",IF(OR(M27='Tabla Impacto'!$C$12,M27='Tabla Impacto'!$D$12),"Menor",IF(OR(M27='Tabla Impacto'!$C$13,M27='Tabla Impacto'!$D$13),"Moderado",IF(OR(M27='Tabla Impacto'!$C$14,M27='Tabla Impacto'!$D$14),"Mayor",IF(OR(M27='Tabla Impacto'!$C$15,M27='Tabla Impacto'!$D$15),"Catastrófico","")))))</f>
        <v/>
      </c>
      <c r="O27" s="201" t="str">
        <f>IF(N27="","",IF(N27="Leve",0.2,IF(N27="Menor",0.4,IF(N27="Moderado",0.6,IF(N27="Mayor",0.8,IF(N27="Catastrófico",1,))))))</f>
        <v/>
      </c>
      <c r="P27" s="202" t="str">
        <f>IF(OR(AND(J27="Muy Baja",N27="Leve"),AND(J27="Muy Baja",N27="Menor"),AND(J27="Baja",N27="Leve")),"Bajo",IF(OR(AND(J27="Muy baja",N27="Moderado"),AND(J27="Baja",N27="Menor"),AND(J27="Baja",N27="Moderado"),AND(J27="Media",N27="Leve"),AND(J27="Media",N27="Menor"),AND(J27="Media",N27="Moderado"),AND(J27="Alta",N27="Leve"),AND(J27="Alta",N27="Menor")),"Moderado",IF(OR(AND(J27="Muy Baja",N27="Mayor"),AND(J27="Baja",N27="Mayor"),AND(J27="Media",N27="Mayor"),AND(J27="Alta",N27="Moderado"),AND(J27="Alta",N27="Mayor"),AND(J27="Muy Alta",N27="Leve"),AND(J27="Muy Alta",N27="Menor"),AND(J27="Muy Alta",N27="Moderado"),AND(J27="Muy Alta",N27="Mayor")),"Alto",IF(OR(AND(J27="Muy Baja",N27="Catastrófico"),AND(J27="Baja",N27="Catastrófico"),AND(J27="Media",N27="Catastrófico"),AND(J27="Alta",N27="Catastrófico"),AND(J27="Muy Alta",N27="Catastrófico")),"Extremo",""))))</f>
        <v/>
      </c>
      <c r="Q27" s="113">
        <v>1</v>
      </c>
      <c r="R27" s="114"/>
      <c r="S27" s="115" t="str">
        <f>IF(OR(T27="Preventivo",T27="Detectivo"),"Probabilidad",IF(T27="Correctivo","Impacto",""))</f>
        <v/>
      </c>
      <c r="T27" s="116"/>
      <c r="U27" s="116"/>
      <c r="V27" s="117" t="str">
        <f>IF(AND(T27="Preventivo",U27="Automático"),"50%",IF(AND(T27="Preventivo",U27="Manual"),"40%",IF(AND(T27="Detectivo",U27="Automático"),"40%",IF(AND(T27="Detectivo",U27="Manual"),"30%",IF(AND(T27="Correctivo",U27="Automático"),"35%",IF(AND(T27="Correctivo",U27="Manual"),"25%",""))))))</f>
        <v/>
      </c>
      <c r="W27" s="116"/>
      <c r="X27" s="116"/>
      <c r="Y27" s="116"/>
      <c r="Z27" s="118" t="str">
        <f>IFERROR(IF(S27="Probabilidad",(K27-(+K27*V27)),IF(S27="Impacto",K27,"")),"")</f>
        <v/>
      </c>
      <c r="AA27" s="119" t="str">
        <f>IFERROR(IF(Z27="","",IF(Z27&lt;=0.2,"Muy Baja",IF(Z27&lt;=0.4,"Baja",IF(Z27&lt;=0.6,"Media",IF(Z27&lt;=0.8,"Alta","Muy Alta"))))),"")</f>
        <v/>
      </c>
      <c r="AB27" s="117" t="str">
        <f>+Z27</f>
        <v/>
      </c>
      <c r="AC27" s="119" t="str">
        <f>IFERROR(IF(AD27="","",IF(AD27&lt;=0.2,"Leve",IF(AD27&lt;=0.4,"Menor",IF(AD27&lt;=0.6,"Moderado",IF(AD27&lt;=0.8,"Mayor","Catastrófico"))))),"")</f>
        <v/>
      </c>
      <c r="AD27" s="117" t="str">
        <f>IFERROR(IF(S27="Impacto",(O27-(+O27*V27)),IF(S27="Probabilidad",O27,"")),"")</f>
        <v/>
      </c>
      <c r="AE27" s="120" t="str">
        <f>IFERROR(IF(OR(AND(AA27="Muy Baja",AC27="Leve"),AND(AA27="Muy Baja",AC27="Menor"),AND(AA27="Baja",AC27="Leve")),"Bajo",IF(OR(AND(AA27="Muy baja",AC27="Moderado"),AND(AA27="Baja",AC27="Menor"),AND(AA27="Baja",AC27="Moderado"),AND(AA27="Media",AC27="Leve"),AND(AA27="Media",AC27="Menor"),AND(AA27="Media",AC27="Moderado"),AND(AA27="Alta",AC27="Leve"),AND(AA27="Alta",AC27="Menor")),"Moderado",IF(OR(AND(AA27="Muy Baja",AC27="Mayor"),AND(AA27="Baja",AC27="Mayor"),AND(AA27="Media",AC27="Mayor"),AND(AA27="Alta",AC27="Moderado"),AND(AA27="Alta",AC27="Mayor"),AND(AA27="Muy Alta",AC27="Leve"),AND(AA27="Muy Alta",AC27="Menor"),AND(AA27="Muy Alta",AC27="Moderado"),AND(AA27="Muy Alta",AC27="Mayor")),"Alto",IF(OR(AND(AA27="Muy Baja",AC27="Catastrófico"),AND(AA27="Baja",AC27="Catastrófico"),AND(AA27="Media",AC27="Catastrófico"),AND(AA27="Alta",AC27="Catastrófico"),AND(AA27="Muy Alta",AC27="Catastrófico")),"Extremo","")))),"")</f>
        <v/>
      </c>
      <c r="AF27" s="116"/>
      <c r="AG27" s="121"/>
      <c r="AH27" s="122"/>
      <c r="AI27" s="123"/>
      <c r="AJ27" s="123"/>
      <c r="AK27" s="121"/>
      <c r="AL27" s="122"/>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row>
    <row r="28" spans="1:70" ht="14.45" customHeight="1" x14ac:dyDescent="0.3">
      <c r="A28" s="211"/>
      <c r="B28" s="216"/>
      <c r="C28" s="216"/>
      <c r="D28" s="212"/>
      <c r="E28" s="204"/>
      <c r="F28" s="209"/>
      <c r="G28" s="212"/>
      <c r="H28" s="206"/>
      <c r="I28" s="213"/>
      <c r="J28" s="200"/>
      <c r="K28" s="201"/>
      <c r="L28" s="203"/>
      <c r="M28" s="201">
        <f t="shared" ref="M28:M32" si="24">IF(NOT(ISERROR(MATCH(L28,_xlfn.ANCHORARRAY(E39),0))),K41&amp;"Por favor no seleccionar los criterios de impacto",L28)</f>
        <v>0</v>
      </c>
      <c r="N28" s="200"/>
      <c r="O28" s="201"/>
      <c r="P28" s="202"/>
      <c r="Q28" s="113">
        <v>2</v>
      </c>
      <c r="R28" s="114"/>
      <c r="S28" s="115" t="str">
        <f>IF(OR(T28="Preventivo",T28="Detectivo"),"Probabilidad",IF(T28="Correctivo","Impacto",""))</f>
        <v/>
      </c>
      <c r="T28" s="116"/>
      <c r="U28" s="116"/>
      <c r="V28" s="117" t="str">
        <f t="shared" ref="V28:V32" si="25">IF(AND(T28="Preventivo",U28="Automático"),"50%",IF(AND(T28="Preventivo",U28="Manual"),"40%",IF(AND(T28="Detectivo",U28="Automático"),"40%",IF(AND(T28="Detectivo",U28="Manual"),"30%",IF(AND(T28="Correctivo",U28="Automático"),"35%",IF(AND(T28="Correctivo",U28="Manual"),"25%",""))))))</f>
        <v/>
      </c>
      <c r="W28" s="116"/>
      <c r="X28" s="116"/>
      <c r="Y28" s="116"/>
      <c r="Z28" s="118" t="str">
        <f>IFERROR(IF(AND(S27="Probabilidad",S28="Probabilidad"),(AB27-(+AB27*V28)),IF(S28="Probabilidad",(K27-(+K27*V28)),IF(S28="Impacto",AB27,""))),"")</f>
        <v/>
      </c>
      <c r="AA28" s="119" t="str">
        <f t="shared" si="0"/>
        <v/>
      </c>
      <c r="AB28" s="117" t="str">
        <f t="shared" ref="AB28:AB32" si="26">+Z28</f>
        <v/>
      </c>
      <c r="AC28" s="119" t="str">
        <f t="shared" si="2"/>
        <v/>
      </c>
      <c r="AD28" s="117" t="str">
        <f>IFERROR(IF(AND(S27="Impacto",S28="Impacto"),(AD21-(+AD21*V28)),IF(S28="Impacto",($O$27-(+$O$27*V28)),IF(S28="Probabilidad",AD21,""))),"")</f>
        <v/>
      </c>
      <c r="AE28" s="120" t="str">
        <f t="shared" ref="AE28:AE29" si="27">IFERROR(IF(OR(AND(AA28="Muy Baja",AC28="Leve"),AND(AA28="Muy Baja",AC28="Menor"),AND(AA28="Baja",AC28="Leve")),"Bajo",IF(OR(AND(AA28="Muy baja",AC28="Moderado"),AND(AA28="Baja",AC28="Menor"),AND(AA28="Baja",AC28="Moderado"),AND(AA28="Media",AC28="Leve"),AND(AA28="Media",AC28="Menor"),AND(AA28="Media",AC28="Moderado"),AND(AA28="Alta",AC28="Leve"),AND(AA28="Alta",AC28="Menor")),"Moderado",IF(OR(AND(AA28="Muy Baja",AC28="Mayor"),AND(AA28="Baja",AC28="Mayor"),AND(AA28="Media",AC28="Mayor"),AND(AA28="Alta",AC28="Moderado"),AND(AA28="Alta",AC28="Mayor"),AND(AA28="Muy Alta",AC28="Leve"),AND(AA28="Muy Alta",AC28="Menor"),AND(AA28="Muy Alta",AC28="Moderado"),AND(AA28="Muy Alta",AC28="Mayor")),"Alto",IF(OR(AND(AA28="Muy Baja",AC28="Catastrófico"),AND(AA28="Baja",AC28="Catastrófico"),AND(AA28="Media",AC28="Catastrófico"),AND(AA28="Alta",AC28="Catastrófico"),AND(AA28="Muy Alta",AC28="Catastrófico")),"Extremo","")))),"")</f>
        <v/>
      </c>
      <c r="AF28" s="116"/>
      <c r="AG28" s="121"/>
      <c r="AH28" s="122"/>
      <c r="AI28" s="123"/>
      <c r="AJ28" s="123"/>
      <c r="AK28" s="121"/>
      <c r="AL28" s="122"/>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row>
    <row r="29" spans="1:70" ht="14.45" customHeight="1" x14ac:dyDescent="0.3">
      <c r="A29" s="211"/>
      <c r="B29" s="216"/>
      <c r="C29" s="216"/>
      <c r="D29" s="212"/>
      <c r="E29" s="204"/>
      <c r="F29" s="209"/>
      <c r="G29" s="212"/>
      <c r="H29" s="206"/>
      <c r="I29" s="213"/>
      <c r="J29" s="200"/>
      <c r="K29" s="201"/>
      <c r="L29" s="203"/>
      <c r="M29" s="201">
        <f t="shared" si="24"/>
        <v>0</v>
      </c>
      <c r="N29" s="200"/>
      <c r="O29" s="201"/>
      <c r="P29" s="202"/>
      <c r="Q29" s="113">
        <v>3</v>
      </c>
      <c r="R29" s="126"/>
      <c r="S29" s="115" t="str">
        <f>IF(OR(T29="Preventivo",T29="Detectivo"),"Probabilidad",IF(T29="Correctivo","Impacto",""))</f>
        <v/>
      </c>
      <c r="T29" s="116"/>
      <c r="U29" s="116"/>
      <c r="V29" s="117" t="str">
        <f t="shared" si="25"/>
        <v/>
      </c>
      <c r="W29" s="116"/>
      <c r="X29" s="116"/>
      <c r="Y29" s="116"/>
      <c r="Z29" s="118" t="str">
        <f>IFERROR(IF(AND(S28="Probabilidad",S29="Probabilidad"),(AB28-(+AB28*V29)),IF(AND(S28="Impacto",S29="Probabilidad"),(AB27-(+AB27*V29)),IF(S29="Impacto",AB28,""))),"")</f>
        <v/>
      </c>
      <c r="AA29" s="119" t="str">
        <f t="shared" si="0"/>
        <v/>
      </c>
      <c r="AB29" s="117" t="str">
        <f t="shared" si="26"/>
        <v/>
      </c>
      <c r="AC29" s="119" t="str">
        <f t="shared" si="2"/>
        <v/>
      </c>
      <c r="AD29" s="117" t="str">
        <f>IFERROR(IF(AND(S28="Impacto",S29="Impacto"),(AD28-(+AD28*V29)),IF(AND(S28="Probabilidad",S29="Impacto"),(AD27-(+AD27*V29)),IF(S29="Probabilidad",AD28,""))),"")</f>
        <v/>
      </c>
      <c r="AE29" s="120" t="str">
        <f t="shared" si="27"/>
        <v/>
      </c>
      <c r="AF29" s="116"/>
      <c r="AG29" s="121"/>
      <c r="AH29" s="122"/>
      <c r="AI29" s="123"/>
      <c r="AJ29" s="123"/>
      <c r="AK29" s="121"/>
      <c r="AL29" s="122"/>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row>
    <row r="30" spans="1:70" ht="14.45" customHeight="1" x14ac:dyDescent="0.3">
      <c r="A30" s="211"/>
      <c r="B30" s="216"/>
      <c r="C30" s="216"/>
      <c r="D30" s="212"/>
      <c r="E30" s="204"/>
      <c r="F30" s="209"/>
      <c r="G30" s="212"/>
      <c r="H30" s="206"/>
      <c r="I30" s="213"/>
      <c r="J30" s="200"/>
      <c r="K30" s="201"/>
      <c r="L30" s="203"/>
      <c r="M30" s="201">
        <f t="shared" si="24"/>
        <v>0</v>
      </c>
      <c r="N30" s="200"/>
      <c r="O30" s="201"/>
      <c r="P30" s="202"/>
      <c r="Q30" s="113">
        <v>4</v>
      </c>
      <c r="R30" s="114"/>
      <c r="S30" s="115" t="str">
        <f t="shared" ref="S30:S32" si="28">IF(OR(T30="Preventivo",T30="Detectivo"),"Probabilidad",IF(T30="Correctivo","Impacto",""))</f>
        <v/>
      </c>
      <c r="T30" s="116"/>
      <c r="U30" s="116"/>
      <c r="V30" s="117" t="str">
        <f t="shared" si="25"/>
        <v/>
      </c>
      <c r="W30" s="116"/>
      <c r="X30" s="116"/>
      <c r="Y30" s="116"/>
      <c r="Z30" s="118" t="str">
        <f t="shared" ref="Z30:Z32" si="29">IFERROR(IF(AND(S29="Probabilidad",S30="Probabilidad"),(AB29-(+AB29*V30)),IF(AND(S29="Impacto",S30="Probabilidad"),(AB28-(+AB28*V30)),IF(S30="Impacto",AB29,""))),"")</f>
        <v/>
      </c>
      <c r="AA30" s="119" t="str">
        <f t="shared" si="0"/>
        <v/>
      </c>
      <c r="AB30" s="117" t="str">
        <f t="shared" si="26"/>
        <v/>
      </c>
      <c r="AC30" s="119" t="str">
        <f t="shared" si="2"/>
        <v/>
      </c>
      <c r="AD30" s="117" t="str">
        <f t="shared" ref="AD30:AD32" si="30">IFERROR(IF(AND(S29="Impacto",S30="Impacto"),(AD29-(+AD29*V30)),IF(AND(S29="Probabilidad",S30="Impacto"),(AD28-(+AD28*V30)),IF(S30="Probabilidad",AD29,""))),"")</f>
        <v/>
      </c>
      <c r="AE30" s="120" t="str">
        <f>IFERROR(IF(OR(AND(AA30="Muy Baja",AC30="Leve"),AND(AA30="Muy Baja",AC30="Menor"),AND(AA30="Baja",AC30="Leve")),"Bajo",IF(OR(AND(AA30="Muy baja",AC30="Moderado"),AND(AA30="Baja",AC30="Menor"),AND(AA30="Baja",AC30="Moderado"),AND(AA30="Media",AC30="Leve"),AND(AA30="Media",AC30="Menor"),AND(AA30="Media",AC30="Moderado"),AND(AA30="Alta",AC30="Leve"),AND(AA30="Alta",AC30="Menor")),"Moderado",IF(OR(AND(AA30="Muy Baja",AC30="Mayor"),AND(AA30="Baja",AC30="Mayor"),AND(AA30="Media",AC30="Mayor"),AND(AA30="Alta",AC30="Moderado"),AND(AA30="Alta",AC30="Mayor"),AND(AA30="Muy Alta",AC30="Leve"),AND(AA30="Muy Alta",AC30="Menor"),AND(AA30="Muy Alta",AC30="Moderado"),AND(AA30="Muy Alta",AC30="Mayor")),"Alto",IF(OR(AND(AA30="Muy Baja",AC30="Catastrófico"),AND(AA30="Baja",AC30="Catastrófico"),AND(AA30="Media",AC30="Catastrófico"),AND(AA30="Alta",AC30="Catastrófico"),AND(AA30="Muy Alta",AC30="Catastrófico")),"Extremo","")))),"")</f>
        <v/>
      </c>
      <c r="AF30" s="116"/>
      <c r="AG30" s="121"/>
      <c r="AH30" s="122"/>
      <c r="AI30" s="123"/>
      <c r="AJ30" s="123"/>
      <c r="AK30" s="121"/>
      <c r="AL30" s="122"/>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row>
    <row r="31" spans="1:70" ht="14.45" customHeight="1" x14ac:dyDescent="0.3">
      <c r="A31" s="211"/>
      <c r="B31" s="216"/>
      <c r="C31" s="216"/>
      <c r="D31" s="212"/>
      <c r="E31" s="204"/>
      <c r="F31" s="209"/>
      <c r="G31" s="212"/>
      <c r="H31" s="206"/>
      <c r="I31" s="213"/>
      <c r="J31" s="200"/>
      <c r="K31" s="201"/>
      <c r="L31" s="203"/>
      <c r="M31" s="201">
        <f t="shared" si="24"/>
        <v>0</v>
      </c>
      <c r="N31" s="200"/>
      <c r="O31" s="201"/>
      <c r="P31" s="202"/>
      <c r="Q31" s="113">
        <v>5</v>
      </c>
      <c r="R31" s="114"/>
      <c r="S31" s="115" t="str">
        <f t="shared" si="28"/>
        <v/>
      </c>
      <c r="T31" s="116"/>
      <c r="U31" s="116"/>
      <c r="V31" s="117" t="str">
        <f t="shared" si="25"/>
        <v/>
      </c>
      <c r="W31" s="116"/>
      <c r="X31" s="116"/>
      <c r="Y31" s="116"/>
      <c r="Z31" s="127" t="str">
        <f t="shared" si="29"/>
        <v/>
      </c>
      <c r="AA31" s="119" t="str">
        <f>IFERROR(IF(Z31="","",IF(Z31&lt;=0.2,"Muy Baja",IF(Z31&lt;=0.4,"Baja",IF(Z31&lt;=0.6,"Media",IF(Z31&lt;=0.8,"Alta","Muy Alta"))))),"")</f>
        <v/>
      </c>
      <c r="AB31" s="117" t="str">
        <f t="shared" si="26"/>
        <v/>
      </c>
      <c r="AC31" s="119" t="str">
        <f t="shared" si="2"/>
        <v/>
      </c>
      <c r="AD31" s="117" t="str">
        <f t="shared" si="30"/>
        <v/>
      </c>
      <c r="AE31" s="120" t="str">
        <f t="shared" ref="AE31:AE32" si="31">IFERROR(IF(OR(AND(AA31="Muy Baja",AC31="Leve"),AND(AA31="Muy Baja",AC31="Menor"),AND(AA31="Baja",AC31="Leve")),"Bajo",IF(OR(AND(AA31="Muy baja",AC31="Moderado"),AND(AA31="Baja",AC31="Menor"),AND(AA31="Baja",AC31="Moderado"),AND(AA31="Media",AC31="Leve"),AND(AA31="Media",AC31="Menor"),AND(AA31="Media",AC31="Moderado"),AND(AA31="Alta",AC31="Leve"),AND(AA31="Alta",AC31="Menor")),"Moderado",IF(OR(AND(AA31="Muy Baja",AC31="Mayor"),AND(AA31="Baja",AC31="Mayor"),AND(AA31="Media",AC31="Mayor"),AND(AA31="Alta",AC31="Moderado"),AND(AA31="Alta",AC31="Mayor"),AND(AA31="Muy Alta",AC31="Leve"),AND(AA31="Muy Alta",AC31="Menor"),AND(AA31="Muy Alta",AC31="Moderado"),AND(AA31="Muy Alta",AC31="Mayor")),"Alto",IF(OR(AND(AA31="Muy Baja",AC31="Catastrófico"),AND(AA31="Baja",AC31="Catastrófico"),AND(AA31="Media",AC31="Catastrófico"),AND(AA31="Alta",AC31="Catastrófico"),AND(AA31="Muy Alta",AC31="Catastrófico")),"Extremo","")))),"")</f>
        <v/>
      </c>
      <c r="AF31" s="116"/>
      <c r="AG31" s="121"/>
      <c r="AH31" s="122"/>
      <c r="AI31" s="123"/>
      <c r="AJ31" s="123"/>
      <c r="AK31" s="121"/>
      <c r="AL31" s="122"/>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row>
    <row r="32" spans="1:70" ht="14.45" customHeight="1" x14ac:dyDescent="0.3">
      <c r="A32" s="211"/>
      <c r="B32" s="217"/>
      <c r="C32" s="217"/>
      <c r="D32" s="212"/>
      <c r="E32" s="204"/>
      <c r="F32" s="210"/>
      <c r="G32" s="212"/>
      <c r="H32" s="207"/>
      <c r="I32" s="213"/>
      <c r="J32" s="200"/>
      <c r="K32" s="201"/>
      <c r="L32" s="203"/>
      <c r="M32" s="201">
        <f t="shared" si="24"/>
        <v>0</v>
      </c>
      <c r="N32" s="200"/>
      <c r="O32" s="201"/>
      <c r="P32" s="202"/>
      <c r="Q32" s="113">
        <v>6</v>
      </c>
      <c r="R32" s="114"/>
      <c r="S32" s="115" t="str">
        <f t="shared" si="28"/>
        <v/>
      </c>
      <c r="T32" s="116"/>
      <c r="U32" s="116"/>
      <c r="V32" s="117" t="str">
        <f t="shared" si="25"/>
        <v/>
      </c>
      <c r="W32" s="116"/>
      <c r="X32" s="116"/>
      <c r="Y32" s="116"/>
      <c r="Z32" s="118" t="str">
        <f t="shared" si="29"/>
        <v/>
      </c>
      <c r="AA32" s="119" t="str">
        <f t="shared" si="0"/>
        <v/>
      </c>
      <c r="AB32" s="117" t="str">
        <f t="shared" si="26"/>
        <v/>
      </c>
      <c r="AC32" s="119" t="str">
        <f t="shared" si="2"/>
        <v/>
      </c>
      <c r="AD32" s="117" t="str">
        <f t="shared" si="30"/>
        <v/>
      </c>
      <c r="AE32" s="120" t="str">
        <f t="shared" si="31"/>
        <v/>
      </c>
      <c r="AF32" s="116"/>
      <c r="AG32" s="121"/>
      <c r="AH32" s="122"/>
      <c r="AI32" s="123"/>
      <c r="AJ32" s="123"/>
      <c r="AK32" s="121"/>
      <c r="AL32" s="122"/>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row>
    <row r="33" spans="1:70" x14ac:dyDescent="0.3">
      <c r="A33" s="211">
        <v>5</v>
      </c>
      <c r="B33" s="139"/>
      <c r="C33" s="139"/>
      <c r="D33" s="212"/>
      <c r="E33" s="204"/>
      <c r="F33" s="141"/>
      <c r="G33" s="212"/>
      <c r="H33" s="140"/>
      <c r="I33" s="213"/>
      <c r="J33" s="200" t="str">
        <f>IF(I33&lt;=0,"",IF(I33&lt;=2,"Muy Baja",IF(I33&lt;=24,"Baja",IF(I33&lt;=500,"Media",IF(I33&lt;=5000,"Alta","Muy Alta")))))</f>
        <v/>
      </c>
      <c r="K33" s="201" t="str">
        <f>IF(J33="","",IF(J33="Muy Baja",0.2,IF(J33="Baja",0.4,IF(J33="Media",0.6,IF(J33="Alta",0.8,IF(J33="Muy Alta",1,))))))</f>
        <v/>
      </c>
      <c r="L33" s="203"/>
      <c r="M33" s="201">
        <f>IF(NOT(ISERROR(MATCH(L33,'Tabla Impacto'!$B$221:$B$223,0))),'Tabla Impacto'!$F$223&amp;"Por favor no seleccionar los criterios de impacto(Afectación Económica o presupuestal y Pérdida Reputacional)",L33)</f>
        <v>0</v>
      </c>
      <c r="N33" s="200" t="str">
        <f>IF(OR(M33='Tabla Impacto'!$C$11,M33='Tabla Impacto'!$D$11),"Leve",IF(OR(M33='Tabla Impacto'!$C$12,M33='Tabla Impacto'!$D$12),"Menor",IF(OR(M33='Tabla Impacto'!$C$13,M33='Tabla Impacto'!$D$13),"Moderado",IF(OR(M33='Tabla Impacto'!$C$14,M33='Tabla Impacto'!$D$14),"Mayor",IF(OR(M33='Tabla Impacto'!$C$15,M33='Tabla Impacto'!$D$15),"Catastrófico","")))))</f>
        <v/>
      </c>
      <c r="O33" s="201" t="str">
        <f>IF(N33="","",IF(N33="Leve",0.2,IF(N33="Menor",0.4,IF(N33="Moderado",0.6,IF(N33="Mayor",0.8,IF(N33="Catastrófico",1,))))))</f>
        <v/>
      </c>
      <c r="P33" s="202" t="str">
        <f>IF(OR(AND(J33="Muy Baja",N33="Leve"),AND(J33="Muy Baja",N33="Menor"),AND(J33="Baja",N33="Leve")),"Bajo",IF(OR(AND(J33="Muy baja",N33="Moderado"),AND(J33="Baja",N33="Menor"),AND(J33="Baja",N33="Moderado"),AND(J33="Media",N33="Leve"),AND(J33="Media",N33="Menor"),AND(J33="Media",N33="Moderado"),AND(J33="Alta",N33="Leve"),AND(J33="Alta",N33="Menor")),"Moderado",IF(OR(AND(J33="Muy Baja",N33="Mayor"),AND(J33="Baja",N33="Mayor"),AND(J33="Media",N33="Mayor"),AND(J33="Alta",N33="Moderado"),AND(J33="Alta",N33="Mayor"),AND(J33="Muy Alta",N33="Leve"),AND(J33="Muy Alta",N33="Menor"),AND(J33="Muy Alta",N33="Moderado"),AND(J33="Muy Alta",N33="Mayor")),"Alto",IF(OR(AND(J33="Muy Baja",N33="Catastrófico"),AND(J33="Baja",N33="Catastrófico"),AND(J33="Media",N33="Catastrófico"),AND(J33="Alta",N33="Catastrófico"),AND(J33="Muy Alta",N33="Catastrófico")),"Extremo",""))))</f>
        <v/>
      </c>
      <c r="Q33" s="113">
        <v>1</v>
      </c>
      <c r="R33" s="114"/>
      <c r="S33" s="115" t="str">
        <f>IF(OR(T33="Preventivo",T33="Detectivo"),"Probabilidad",IF(T33="Correctivo","Impacto",""))</f>
        <v/>
      </c>
      <c r="T33" s="116"/>
      <c r="U33" s="116"/>
      <c r="V33" s="117" t="str">
        <f>IF(AND(T33="Preventivo",U33="Automático"),"50%",IF(AND(T33="Preventivo",U33="Manual"),"40%",IF(AND(T33="Detectivo",U33="Automático"),"40%",IF(AND(T33="Detectivo",U33="Manual"),"30%",IF(AND(T33="Correctivo",U33="Automático"),"35%",IF(AND(T33="Correctivo",U33="Manual"),"25%",""))))))</f>
        <v/>
      </c>
      <c r="W33" s="116"/>
      <c r="X33" s="116"/>
      <c r="Y33" s="116"/>
      <c r="Z33" s="118" t="str">
        <f>IFERROR(IF(S33="Probabilidad",(K33-(+K33*V33)),IF(S33="Impacto",K33,"")),"")</f>
        <v/>
      </c>
      <c r="AA33" s="119" t="str">
        <f>IFERROR(IF(Z33="","",IF(Z33&lt;=0.2,"Muy Baja",IF(Z33&lt;=0.4,"Baja",IF(Z33&lt;=0.6,"Media",IF(Z33&lt;=0.8,"Alta","Muy Alta"))))),"")</f>
        <v/>
      </c>
      <c r="AB33" s="117" t="str">
        <f>+Z33</f>
        <v/>
      </c>
      <c r="AC33" s="119" t="str">
        <f>IFERROR(IF(AD33="","",IF(AD33&lt;=0.2,"Leve",IF(AD33&lt;=0.4,"Menor",IF(AD33&lt;=0.6,"Moderado",IF(AD33&lt;=0.8,"Mayor","Catastrófico"))))),"")</f>
        <v/>
      </c>
      <c r="AD33" s="117" t="str">
        <f>IFERROR(IF(S33="Impacto",(O33-(+O33*V33)),IF(S33="Probabilidad",O33,"")),"")</f>
        <v/>
      </c>
      <c r="AE33" s="120" t="str">
        <f>IFERROR(IF(OR(AND(AA33="Muy Baja",AC33="Leve"),AND(AA33="Muy Baja",AC33="Menor"),AND(AA33="Baja",AC33="Leve")),"Bajo",IF(OR(AND(AA33="Muy baja",AC33="Moderado"),AND(AA33="Baja",AC33="Menor"),AND(AA33="Baja",AC33="Moderado"),AND(AA33="Media",AC33="Leve"),AND(AA33="Media",AC33="Menor"),AND(AA33="Media",AC33="Moderado"),AND(AA33="Alta",AC33="Leve"),AND(AA33="Alta",AC33="Menor")),"Moderado",IF(OR(AND(AA33="Muy Baja",AC33="Mayor"),AND(AA33="Baja",AC33="Mayor"),AND(AA33="Media",AC33="Mayor"),AND(AA33="Alta",AC33="Moderado"),AND(AA33="Alta",AC33="Mayor"),AND(AA33="Muy Alta",AC33="Leve"),AND(AA33="Muy Alta",AC33="Menor"),AND(AA33="Muy Alta",AC33="Moderado"),AND(AA33="Muy Alta",AC33="Mayor")),"Alto",IF(OR(AND(AA33="Muy Baja",AC33="Catastrófico"),AND(AA33="Baja",AC33="Catastrófico"),AND(AA33="Media",AC33="Catastrófico"),AND(AA33="Alta",AC33="Catastrófico"),AND(AA33="Muy Alta",AC33="Catastrófico")),"Extremo","")))),"")</f>
        <v/>
      </c>
      <c r="AF33" s="116"/>
      <c r="AG33" s="121"/>
      <c r="AH33" s="122"/>
      <c r="AI33" s="123"/>
      <c r="AJ33" s="123"/>
      <c r="AK33" s="121"/>
      <c r="AL33" s="122"/>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row>
    <row r="34" spans="1:70" x14ac:dyDescent="0.3">
      <c r="A34" s="211"/>
      <c r="B34" s="139"/>
      <c r="C34" s="139"/>
      <c r="D34" s="212"/>
      <c r="E34" s="204"/>
      <c r="F34" s="141"/>
      <c r="G34" s="212"/>
      <c r="H34" s="140"/>
      <c r="I34" s="213"/>
      <c r="J34" s="200"/>
      <c r="K34" s="201"/>
      <c r="L34" s="203"/>
      <c r="M34" s="201">
        <f t="shared" ref="M34:M38" si="32">IF(NOT(ISERROR(MATCH(L34,_xlfn.ANCHORARRAY(E45),0))),K47&amp;"Por favor no seleccionar los criterios de impacto",L34)</f>
        <v>0</v>
      </c>
      <c r="N34" s="200"/>
      <c r="O34" s="201"/>
      <c r="P34" s="202"/>
      <c r="Q34" s="113">
        <v>2</v>
      </c>
      <c r="R34" s="114"/>
      <c r="S34" s="115" t="str">
        <f>IF(OR(T34="Preventivo",T34="Detectivo"),"Probabilidad",IF(T34="Correctivo","Impacto",""))</f>
        <v/>
      </c>
      <c r="T34" s="116"/>
      <c r="U34" s="116"/>
      <c r="V34" s="117" t="str">
        <f t="shared" ref="V34:V38" si="33">IF(AND(T34="Preventivo",U34="Automático"),"50%",IF(AND(T34="Preventivo",U34="Manual"),"40%",IF(AND(T34="Detectivo",U34="Automático"),"40%",IF(AND(T34="Detectivo",U34="Manual"),"30%",IF(AND(T34="Correctivo",U34="Automático"),"35%",IF(AND(T34="Correctivo",U34="Manual"),"25%",""))))))</f>
        <v/>
      </c>
      <c r="W34" s="116"/>
      <c r="X34" s="116"/>
      <c r="Y34" s="116"/>
      <c r="Z34" s="118" t="str">
        <f>IFERROR(IF(AND(S33="Probabilidad",S34="Probabilidad"),(AB33-(+AB33*V34)),IF(S34="Probabilidad",(K33-(+K33*V34)),IF(S34="Impacto",AB33,""))),"")</f>
        <v/>
      </c>
      <c r="AA34" s="119" t="str">
        <f t="shared" si="0"/>
        <v/>
      </c>
      <c r="AB34" s="117" t="str">
        <f t="shared" ref="AB34:AB38" si="34">+Z34</f>
        <v/>
      </c>
      <c r="AC34" s="119" t="str">
        <f t="shared" si="2"/>
        <v/>
      </c>
      <c r="AD34" s="117" t="str">
        <f>IFERROR(IF(AND(S33="Impacto",S34="Impacto"),(AD27-(+AD27*V34)),IF(S34="Impacto",($O$33-(+$O$33*V34)),IF(S34="Probabilidad",AD27,""))),"")</f>
        <v/>
      </c>
      <c r="AE34" s="120" t="str">
        <f t="shared" ref="AE34:AE35" si="35">IFERROR(IF(OR(AND(AA34="Muy Baja",AC34="Leve"),AND(AA34="Muy Baja",AC34="Menor"),AND(AA34="Baja",AC34="Leve")),"Bajo",IF(OR(AND(AA34="Muy baja",AC34="Moderado"),AND(AA34="Baja",AC34="Menor"),AND(AA34="Baja",AC34="Moderado"),AND(AA34="Media",AC34="Leve"),AND(AA34="Media",AC34="Menor"),AND(AA34="Media",AC34="Moderado"),AND(AA34="Alta",AC34="Leve"),AND(AA34="Alta",AC34="Menor")),"Moderado",IF(OR(AND(AA34="Muy Baja",AC34="Mayor"),AND(AA34="Baja",AC34="Mayor"),AND(AA34="Media",AC34="Mayor"),AND(AA34="Alta",AC34="Moderado"),AND(AA34="Alta",AC34="Mayor"),AND(AA34="Muy Alta",AC34="Leve"),AND(AA34="Muy Alta",AC34="Menor"),AND(AA34="Muy Alta",AC34="Moderado"),AND(AA34="Muy Alta",AC34="Mayor")),"Alto",IF(OR(AND(AA34="Muy Baja",AC34="Catastrófico"),AND(AA34="Baja",AC34="Catastrófico"),AND(AA34="Media",AC34="Catastrófico"),AND(AA34="Alta",AC34="Catastrófico"),AND(AA34="Muy Alta",AC34="Catastrófico")),"Extremo","")))),"")</f>
        <v/>
      </c>
      <c r="AF34" s="116"/>
      <c r="AG34" s="121"/>
      <c r="AH34" s="122"/>
      <c r="AI34" s="123"/>
      <c r="AJ34" s="123"/>
      <c r="AK34" s="121"/>
      <c r="AL34" s="122"/>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row>
    <row r="35" spans="1:70" x14ac:dyDescent="0.3">
      <c r="A35" s="211"/>
      <c r="B35" s="139"/>
      <c r="C35" s="139"/>
      <c r="D35" s="212"/>
      <c r="E35" s="204"/>
      <c r="F35" s="141"/>
      <c r="G35" s="212"/>
      <c r="H35" s="140"/>
      <c r="I35" s="213"/>
      <c r="J35" s="200"/>
      <c r="K35" s="201"/>
      <c r="L35" s="203"/>
      <c r="M35" s="201">
        <f t="shared" si="32"/>
        <v>0</v>
      </c>
      <c r="N35" s="200"/>
      <c r="O35" s="201"/>
      <c r="P35" s="202"/>
      <c r="Q35" s="113">
        <v>3</v>
      </c>
      <c r="R35" s="126"/>
      <c r="S35" s="115" t="str">
        <f>IF(OR(T35="Preventivo",T35="Detectivo"),"Probabilidad",IF(T35="Correctivo","Impacto",""))</f>
        <v/>
      </c>
      <c r="T35" s="116"/>
      <c r="U35" s="116"/>
      <c r="V35" s="117" t="str">
        <f t="shared" si="33"/>
        <v/>
      </c>
      <c r="W35" s="116"/>
      <c r="X35" s="116"/>
      <c r="Y35" s="116"/>
      <c r="Z35" s="118" t="str">
        <f>IFERROR(IF(AND(S34="Probabilidad",S35="Probabilidad"),(AB34-(+AB34*V35)),IF(AND(S34="Impacto",S35="Probabilidad"),(AB33-(+AB33*V35)),IF(S35="Impacto",AB34,""))),"")</f>
        <v/>
      </c>
      <c r="AA35" s="119" t="str">
        <f t="shared" si="0"/>
        <v/>
      </c>
      <c r="AB35" s="117" t="str">
        <f t="shared" si="34"/>
        <v/>
      </c>
      <c r="AC35" s="119" t="str">
        <f t="shared" si="2"/>
        <v/>
      </c>
      <c r="AD35" s="117" t="str">
        <f>IFERROR(IF(AND(S34="Impacto",S35="Impacto"),(AD34-(+AD34*V35)),IF(AND(S34="Probabilidad",S35="Impacto"),(AD33-(+AD33*V35)),IF(S35="Probabilidad",AD34,""))),"")</f>
        <v/>
      </c>
      <c r="AE35" s="120" t="str">
        <f t="shared" si="35"/>
        <v/>
      </c>
      <c r="AF35" s="116"/>
      <c r="AG35" s="121"/>
      <c r="AH35" s="122"/>
      <c r="AI35" s="123"/>
      <c r="AJ35" s="123"/>
      <c r="AK35" s="121"/>
      <c r="AL35" s="122"/>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row>
    <row r="36" spans="1:70" x14ac:dyDescent="0.3">
      <c r="A36" s="211"/>
      <c r="B36" s="139"/>
      <c r="C36" s="139"/>
      <c r="D36" s="212"/>
      <c r="E36" s="204"/>
      <c r="F36" s="141"/>
      <c r="G36" s="212"/>
      <c r="H36" s="140"/>
      <c r="I36" s="213"/>
      <c r="J36" s="200"/>
      <c r="K36" s="201"/>
      <c r="L36" s="203"/>
      <c r="M36" s="201">
        <f t="shared" si="32"/>
        <v>0</v>
      </c>
      <c r="N36" s="200"/>
      <c r="O36" s="201"/>
      <c r="P36" s="202"/>
      <c r="Q36" s="113">
        <v>4</v>
      </c>
      <c r="R36" s="114"/>
      <c r="S36" s="115" t="str">
        <f t="shared" ref="S36:S38" si="36">IF(OR(T36="Preventivo",T36="Detectivo"),"Probabilidad",IF(T36="Correctivo","Impacto",""))</f>
        <v/>
      </c>
      <c r="T36" s="116"/>
      <c r="U36" s="116"/>
      <c r="V36" s="117" t="str">
        <f t="shared" si="33"/>
        <v/>
      </c>
      <c r="W36" s="116"/>
      <c r="X36" s="116"/>
      <c r="Y36" s="116"/>
      <c r="Z36" s="118" t="str">
        <f t="shared" ref="Z36:Z38" si="37">IFERROR(IF(AND(S35="Probabilidad",S36="Probabilidad"),(AB35-(+AB35*V36)),IF(AND(S35="Impacto",S36="Probabilidad"),(AB34-(+AB34*V36)),IF(S36="Impacto",AB35,""))),"")</f>
        <v/>
      </c>
      <c r="AA36" s="119" t="str">
        <f t="shared" si="0"/>
        <v/>
      </c>
      <c r="AB36" s="117" t="str">
        <f t="shared" si="34"/>
        <v/>
      </c>
      <c r="AC36" s="119" t="str">
        <f t="shared" si="2"/>
        <v/>
      </c>
      <c r="AD36" s="117" t="str">
        <f t="shared" ref="AD36:AD38" si="38">IFERROR(IF(AND(S35="Impacto",S36="Impacto"),(AD35-(+AD35*V36)),IF(AND(S35="Probabilidad",S36="Impacto"),(AD34-(+AD34*V36)),IF(S36="Probabilidad",AD35,""))),"")</f>
        <v/>
      </c>
      <c r="AE36" s="120" t="str">
        <f>IFERROR(IF(OR(AND(AA36="Muy Baja",AC36="Leve"),AND(AA36="Muy Baja",AC36="Menor"),AND(AA36="Baja",AC36="Leve")),"Bajo",IF(OR(AND(AA36="Muy baja",AC36="Moderado"),AND(AA36="Baja",AC36="Menor"),AND(AA36="Baja",AC36="Moderado"),AND(AA36="Media",AC36="Leve"),AND(AA36="Media",AC36="Menor"),AND(AA36="Media",AC36="Moderado"),AND(AA36="Alta",AC36="Leve"),AND(AA36="Alta",AC36="Menor")),"Moderado",IF(OR(AND(AA36="Muy Baja",AC36="Mayor"),AND(AA36="Baja",AC36="Mayor"),AND(AA36="Media",AC36="Mayor"),AND(AA36="Alta",AC36="Moderado"),AND(AA36="Alta",AC36="Mayor"),AND(AA36="Muy Alta",AC36="Leve"),AND(AA36="Muy Alta",AC36="Menor"),AND(AA36="Muy Alta",AC36="Moderado"),AND(AA36="Muy Alta",AC36="Mayor")),"Alto",IF(OR(AND(AA36="Muy Baja",AC36="Catastrófico"),AND(AA36="Baja",AC36="Catastrófico"),AND(AA36="Media",AC36="Catastrófico"),AND(AA36="Alta",AC36="Catastrófico"),AND(AA36="Muy Alta",AC36="Catastrófico")),"Extremo","")))),"")</f>
        <v/>
      </c>
      <c r="AF36" s="116"/>
      <c r="AG36" s="121"/>
      <c r="AH36" s="122"/>
      <c r="AI36" s="123"/>
      <c r="AJ36" s="123"/>
      <c r="AK36" s="121"/>
      <c r="AL36" s="122"/>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row>
    <row r="37" spans="1:70" x14ac:dyDescent="0.3">
      <c r="A37" s="211"/>
      <c r="B37" s="139"/>
      <c r="C37" s="139"/>
      <c r="D37" s="212"/>
      <c r="E37" s="204"/>
      <c r="F37" s="141"/>
      <c r="G37" s="212"/>
      <c r="H37" s="140"/>
      <c r="I37" s="213"/>
      <c r="J37" s="200"/>
      <c r="K37" s="201"/>
      <c r="L37" s="203"/>
      <c r="M37" s="201">
        <f t="shared" si="32"/>
        <v>0</v>
      </c>
      <c r="N37" s="200"/>
      <c r="O37" s="201"/>
      <c r="P37" s="202"/>
      <c r="Q37" s="113">
        <v>5</v>
      </c>
      <c r="R37" s="114"/>
      <c r="S37" s="115" t="str">
        <f t="shared" si="36"/>
        <v/>
      </c>
      <c r="T37" s="116"/>
      <c r="U37" s="116"/>
      <c r="V37" s="117" t="str">
        <f t="shared" si="33"/>
        <v/>
      </c>
      <c r="W37" s="116"/>
      <c r="X37" s="116"/>
      <c r="Y37" s="116"/>
      <c r="Z37" s="118" t="str">
        <f t="shared" si="37"/>
        <v/>
      </c>
      <c r="AA37" s="119" t="str">
        <f t="shared" si="0"/>
        <v/>
      </c>
      <c r="AB37" s="117" t="str">
        <f t="shared" si="34"/>
        <v/>
      </c>
      <c r="AC37" s="119" t="str">
        <f t="shared" si="2"/>
        <v/>
      </c>
      <c r="AD37" s="117" t="str">
        <f t="shared" si="38"/>
        <v/>
      </c>
      <c r="AE37" s="120" t="str">
        <f t="shared" ref="AE37:AE38" si="39">IFERROR(IF(OR(AND(AA37="Muy Baja",AC37="Leve"),AND(AA37="Muy Baja",AC37="Menor"),AND(AA37="Baja",AC37="Leve")),"Bajo",IF(OR(AND(AA37="Muy baja",AC37="Moderado"),AND(AA37="Baja",AC37="Menor"),AND(AA37="Baja",AC37="Moderado"),AND(AA37="Media",AC37="Leve"),AND(AA37="Media",AC37="Menor"),AND(AA37="Media",AC37="Moderado"),AND(AA37="Alta",AC37="Leve"),AND(AA37="Alta",AC37="Menor")),"Moderado",IF(OR(AND(AA37="Muy Baja",AC37="Mayor"),AND(AA37="Baja",AC37="Mayor"),AND(AA37="Media",AC37="Mayor"),AND(AA37="Alta",AC37="Moderado"),AND(AA37="Alta",AC37="Mayor"),AND(AA37="Muy Alta",AC37="Leve"),AND(AA37="Muy Alta",AC37="Menor"),AND(AA37="Muy Alta",AC37="Moderado"),AND(AA37="Muy Alta",AC37="Mayor")),"Alto",IF(OR(AND(AA37="Muy Baja",AC37="Catastrófico"),AND(AA37="Baja",AC37="Catastrófico"),AND(AA37="Media",AC37="Catastrófico"),AND(AA37="Alta",AC37="Catastrófico"),AND(AA37="Muy Alta",AC37="Catastrófico")),"Extremo","")))),"")</f>
        <v/>
      </c>
      <c r="AF37" s="116"/>
      <c r="AG37" s="121"/>
      <c r="AH37" s="122"/>
      <c r="AI37" s="123"/>
      <c r="AJ37" s="123"/>
      <c r="AK37" s="121"/>
      <c r="AL37" s="122"/>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row>
    <row r="38" spans="1:70" x14ac:dyDescent="0.3">
      <c r="A38" s="211"/>
      <c r="B38" s="139"/>
      <c r="C38" s="139"/>
      <c r="D38" s="212"/>
      <c r="E38" s="204"/>
      <c r="F38" s="141"/>
      <c r="G38" s="212"/>
      <c r="H38" s="140"/>
      <c r="I38" s="213"/>
      <c r="J38" s="200"/>
      <c r="K38" s="201"/>
      <c r="L38" s="203"/>
      <c r="M38" s="201">
        <f t="shared" si="32"/>
        <v>0</v>
      </c>
      <c r="N38" s="200"/>
      <c r="O38" s="201"/>
      <c r="P38" s="202"/>
      <c r="Q38" s="113">
        <v>6</v>
      </c>
      <c r="R38" s="114"/>
      <c r="S38" s="115" t="str">
        <f t="shared" si="36"/>
        <v/>
      </c>
      <c r="T38" s="116"/>
      <c r="U38" s="116"/>
      <c r="V38" s="117" t="str">
        <f t="shared" si="33"/>
        <v/>
      </c>
      <c r="W38" s="116"/>
      <c r="X38" s="116"/>
      <c r="Y38" s="116"/>
      <c r="Z38" s="118" t="str">
        <f t="shared" si="37"/>
        <v/>
      </c>
      <c r="AA38" s="119" t="str">
        <f t="shared" si="0"/>
        <v/>
      </c>
      <c r="AB38" s="117" t="str">
        <f t="shared" si="34"/>
        <v/>
      </c>
      <c r="AC38" s="119" t="str">
        <f t="shared" si="2"/>
        <v/>
      </c>
      <c r="AD38" s="117" t="str">
        <f t="shared" si="38"/>
        <v/>
      </c>
      <c r="AE38" s="120" t="str">
        <f t="shared" si="39"/>
        <v/>
      </c>
      <c r="AF38" s="116"/>
      <c r="AG38" s="121"/>
      <c r="AH38" s="122"/>
      <c r="AI38" s="123"/>
      <c r="AJ38" s="123"/>
      <c r="AK38" s="121"/>
      <c r="AL38" s="122"/>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row>
    <row r="39" spans="1:70" x14ac:dyDescent="0.3">
      <c r="A39" s="211">
        <v>6</v>
      </c>
      <c r="B39" s="139"/>
      <c r="C39" s="139"/>
      <c r="D39" s="212"/>
      <c r="E39" s="204"/>
      <c r="F39" s="141"/>
      <c r="G39" s="212"/>
      <c r="H39" s="140"/>
      <c r="I39" s="213"/>
      <c r="J39" s="200" t="str">
        <f>IF(I39&lt;=0,"",IF(I39&lt;=2,"Muy Baja",IF(I39&lt;=24,"Baja",IF(I39&lt;=500,"Media",IF(I39&lt;=5000,"Alta","Muy Alta")))))</f>
        <v/>
      </c>
      <c r="K39" s="201" t="str">
        <f>IF(J39="","",IF(J39="Muy Baja",0.2,IF(J39="Baja",0.4,IF(J39="Media",0.6,IF(J39="Alta",0.8,IF(J39="Muy Alta",1,))))))</f>
        <v/>
      </c>
      <c r="L39" s="203"/>
      <c r="M39" s="201">
        <f>IF(NOT(ISERROR(MATCH(L39,'Tabla Impacto'!$B$221:$B$223,0))),'Tabla Impacto'!$F$223&amp;"Por favor no seleccionar los criterios de impacto(Afectación Económica o presupuestal y Pérdida Reputacional)",L39)</f>
        <v>0</v>
      </c>
      <c r="N39" s="200" t="str">
        <f>IF(OR(M39='Tabla Impacto'!$C$11,M39='Tabla Impacto'!$D$11),"Leve",IF(OR(M39='Tabla Impacto'!$C$12,M39='Tabla Impacto'!$D$12),"Menor",IF(OR(M39='Tabla Impacto'!$C$13,M39='Tabla Impacto'!$D$13),"Moderado",IF(OR(M39='Tabla Impacto'!$C$14,M39='Tabla Impacto'!$D$14),"Mayor",IF(OR(M39='Tabla Impacto'!$C$15,M39='Tabla Impacto'!$D$15),"Catastrófico","")))))</f>
        <v/>
      </c>
      <c r="O39" s="201" t="str">
        <f>IF(N39="","",IF(N39="Leve",0.2,IF(N39="Menor",0.4,IF(N39="Moderado",0.6,IF(N39="Mayor",0.8,IF(N39="Catastrófico",1,))))))</f>
        <v/>
      </c>
      <c r="P39" s="202" t="str">
        <f>IF(OR(AND(J39="Muy Baja",N39="Leve"),AND(J39="Muy Baja",N39="Menor"),AND(J39="Baja",N39="Leve")),"Bajo",IF(OR(AND(J39="Muy baja",N39="Moderado"),AND(J39="Baja",N39="Menor"),AND(J39="Baja",N39="Moderado"),AND(J39="Media",N39="Leve"),AND(J39="Media",N39="Menor"),AND(J39="Media",N39="Moderado"),AND(J39="Alta",N39="Leve"),AND(J39="Alta",N39="Menor")),"Moderado",IF(OR(AND(J39="Muy Baja",N39="Mayor"),AND(J39="Baja",N39="Mayor"),AND(J39="Media",N39="Mayor"),AND(J39="Alta",N39="Moderado"),AND(J39="Alta",N39="Mayor"),AND(J39="Muy Alta",N39="Leve"),AND(J39="Muy Alta",N39="Menor"),AND(J39="Muy Alta",N39="Moderado"),AND(J39="Muy Alta",N39="Mayor")),"Alto",IF(OR(AND(J39="Muy Baja",N39="Catastrófico"),AND(J39="Baja",N39="Catastrófico"),AND(J39="Media",N39="Catastrófico"),AND(J39="Alta",N39="Catastrófico"),AND(J39="Muy Alta",N39="Catastrófico")),"Extremo",""))))</f>
        <v/>
      </c>
      <c r="Q39" s="113">
        <v>1</v>
      </c>
      <c r="R39" s="114"/>
      <c r="S39" s="115" t="str">
        <f>IF(OR(T39="Preventivo",T39="Detectivo"),"Probabilidad",IF(T39="Correctivo","Impacto",""))</f>
        <v/>
      </c>
      <c r="T39" s="116"/>
      <c r="U39" s="116"/>
      <c r="V39" s="117" t="str">
        <f>IF(AND(T39="Preventivo",U39="Automático"),"50%",IF(AND(T39="Preventivo",U39="Manual"),"40%",IF(AND(T39="Detectivo",U39="Automático"),"40%",IF(AND(T39="Detectivo",U39="Manual"),"30%",IF(AND(T39="Correctivo",U39="Automático"),"35%",IF(AND(T39="Correctivo",U39="Manual"),"25%",""))))))</f>
        <v/>
      </c>
      <c r="W39" s="116"/>
      <c r="X39" s="116"/>
      <c r="Y39" s="116"/>
      <c r="Z39" s="118" t="str">
        <f>IFERROR(IF(S39="Probabilidad",(K39-(+K39*V39)),IF(S39="Impacto",K39,"")),"")</f>
        <v/>
      </c>
      <c r="AA39" s="119" t="str">
        <f>IFERROR(IF(Z39="","",IF(Z39&lt;=0.2,"Muy Baja",IF(Z39&lt;=0.4,"Baja",IF(Z39&lt;=0.6,"Media",IF(Z39&lt;=0.8,"Alta","Muy Alta"))))),"")</f>
        <v/>
      </c>
      <c r="AB39" s="117" t="str">
        <f>+Z39</f>
        <v/>
      </c>
      <c r="AC39" s="119" t="str">
        <f>IFERROR(IF(AD39="","",IF(AD39&lt;=0.2,"Leve",IF(AD39&lt;=0.4,"Menor",IF(AD39&lt;=0.6,"Moderado",IF(AD39&lt;=0.8,"Mayor","Catastrófico"))))),"")</f>
        <v/>
      </c>
      <c r="AD39" s="117" t="str">
        <f>IFERROR(IF(S39="Impacto",(O39-(+O39*V39)),IF(S39="Probabilidad",O39,"")),"")</f>
        <v/>
      </c>
      <c r="AE39" s="120" t="str">
        <f>IFERROR(IF(OR(AND(AA39="Muy Baja",AC39="Leve"),AND(AA39="Muy Baja",AC39="Menor"),AND(AA39="Baja",AC39="Leve")),"Bajo",IF(OR(AND(AA39="Muy baja",AC39="Moderado"),AND(AA39="Baja",AC39="Menor"),AND(AA39="Baja",AC39="Moderado"),AND(AA39="Media",AC39="Leve"),AND(AA39="Media",AC39="Menor"),AND(AA39="Media",AC39="Moderado"),AND(AA39="Alta",AC39="Leve"),AND(AA39="Alta",AC39="Menor")),"Moderado",IF(OR(AND(AA39="Muy Baja",AC39="Mayor"),AND(AA39="Baja",AC39="Mayor"),AND(AA39="Media",AC39="Mayor"),AND(AA39="Alta",AC39="Moderado"),AND(AA39="Alta",AC39="Mayor"),AND(AA39="Muy Alta",AC39="Leve"),AND(AA39="Muy Alta",AC39="Menor"),AND(AA39="Muy Alta",AC39="Moderado"),AND(AA39="Muy Alta",AC39="Mayor")),"Alto",IF(OR(AND(AA39="Muy Baja",AC39="Catastrófico"),AND(AA39="Baja",AC39="Catastrófico"),AND(AA39="Media",AC39="Catastrófico"),AND(AA39="Alta",AC39="Catastrófico"),AND(AA39="Muy Alta",AC39="Catastrófico")),"Extremo","")))),"")</f>
        <v/>
      </c>
      <c r="AF39" s="116"/>
      <c r="AG39" s="121"/>
      <c r="AH39" s="122"/>
      <c r="AI39" s="123"/>
      <c r="AJ39" s="123"/>
      <c r="AK39" s="121"/>
      <c r="AL39" s="122"/>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row>
    <row r="40" spans="1:70" x14ac:dyDescent="0.3">
      <c r="A40" s="211"/>
      <c r="B40" s="139"/>
      <c r="C40" s="139"/>
      <c r="D40" s="212"/>
      <c r="E40" s="204"/>
      <c r="F40" s="141"/>
      <c r="G40" s="212"/>
      <c r="H40" s="140"/>
      <c r="I40" s="213"/>
      <c r="J40" s="200"/>
      <c r="K40" s="201"/>
      <c r="L40" s="203"/>
      <c r="M40" s="201">
        <f t="shared" ref="M40:M44" si="40">IF(NOT(ISERROR(MATCH(L40,_xlfn.ANCHORARRAY(E51),0))),K53&amp;"Por favor no seleccionar los criterios de impacto",L40)</f>
        <v>0</v>
      </c>
      <c r="N40" s="200"/>
      <c r="O40" s="201"/>
      <c r="P40" s="202"/>
      <c r="Q40" s="113">
        <v>2</v>
      </c>
      <c r="R40" s="114"/>
      <c r="S40" s="115" t="str">
        <f>IF(OR(T40="Preventivo",T40="Detectivo"),"Probabilidad",IF(T40="Correctivo","Impacto",""))</f>
        <v/>
      </c>
      <c r="T40" s="116"/>
      <c r="U40" s="116"/>
      <c r="V40" s="117" t="str">
        <f t="shared" ref="V40:V44" si="41">IF(AND(T40="Preventivo",U40="Automático"),"50%",IF(AND(T40="Preventivo",U40="Manual"),"40%",IF(AND(T40="Detectivo",U40="Automático"),"40%",IF(AND(T40="Detectivo",U40="Manual"),"30%",IF(AND(T40="Correctivo",U40="Automático"),"35%",IF(AND(T40="Correctivo",U40="Manual"),"25%",""))))))</f>
        <v/>
      </c>
      <c r="W40" s="116"/>
      <c r="X40" s="116"/>
      <c r="Y40" s="116"/>
      <c r="Z40" s="118" t="str">
        <f>IFERROR(IF(AND(S39="Probabilidad",S40="Probabilidad"),(AB39-(+AB39*V40)),IF(S40="Probabilidad",(K39-(+K39*V40)),IF(S40="Impacto",AB39,""))),"")</f>
        <v/>
      </c>
      <c r="AA40" s="119" t="str">
        <f t="shared" si="0"/>
        <v/>
      </c>
      <c r="AB40" s="117" t="str">
        <f t="shared" ref="AB40:AB44" si="42">+Z40</f>
        <v/>
      </c>
      <c r="AC40" s="119" t="str">
        <f t="shared" si="2"/>
        <v/>
      </c>
      <c r="AD40" s="117" t="str">
        <f>IFERROR(IF(AND(S39="Impacto",S40="Impacto"),(AD33-(+AD33*V40)),IF(S40="Impacto",($O$39-(+$O$39*V40)),IF(S40="Probabilidad",AD33,""))),"")</f>
        <v/>
      </c>
      <c r="AE40" s="120" t="str">
        <f t="shared" ref="AE40:AE41" si="43">IFERROR(IF(OR(AND(AA40="Muy Baja",AC40="Leve"),AND(AA40="Muy Baja",AC40="Menor"),AND(AA40="Baja",AC40="Leve")),"Bajo",IF(OR(AND(AA40="Muy baja",AC40="Moderado"),AND(AA40="Baja",AC40="Menor"),AND(AA40="Baja",AC40="Moderado"),AND(AA40="Media",AC40="Leve"),AND(AA40="Media",AC40="Menor"),AND(AA40="Media",AC40="Moderado"),AND(AA40="Alta",AC40="Leve"),AND(AA40="Alta",AC40="Menor")),"Moderado",IF(OR(AND(AA40="Muy Baja",AC40="Mayor"),AND(AA40="Baja",AC40="Mayor"),AND(AA40="Media",AC40="Mayor"),AND(AA40="Alta",AC40="Moderado"),AND(AA40="Alta",AC40="Mayor"),AND(AA40="Muy Alta",AC40="Leve"),AND(AA40="Muy Alta",AC40="Menor"),AND(AA40="Muy Alta",AC40="Moderado"),AND(AA40="Muy Alta",AC40="Mayor")),"Alto",IF(OR(AND(AA40="Muy Baja",AC40="Catastrófico"),AND(AA40="Baja",AC40="Catastrófico"),AND(AA40="Media",AC40="Catastrófico"),AND(AA40="Alta",AC40="Catastrófico"),AND(AA40="Muy Alta",AC40="Catastrófico")),"Extremo","")))),"")</f>
        <v/>
      </c>
      <c r="AF40" s="116"/>
      <c r="AG40" s="121"/>
      <c r="AH40" s="122"/>
      <c r="AI40" s="123"/>
      <c r="AJ40" s="123"/>
      <c r="AK40" s="121"/>
      <c r="AL40" s="122"/>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row>
    <row r="41" spans="1:70" x14ac:dyDescent="0.3">
      <c r="A41" s="211"/>
      <c r="B41" s="139"/>
      <c r="C41" s="139"/>
      <c r="D41" s="212"/>
      <c r="E41" s="204"/>
      <c r="F41" s="141"/>
      <c r="G41" s="212"/>
      <c r="H41" s="140"/>
      <c r="I41" s="213"/>
      <c r="J41" s="200"/>
      <c r="K41" s="201"/>
      <c r="L41" s="203"/>
      <c r="M41" s="201">
        <f t="shared" si="40"/>
        <v>0</v>
      </c>
      <c r="N41" s="200"/>
      <c r="O41" s="201"/>
      <c r="P41" s="202"/>
      <c r="Q41" s="113">
        <v>3</v>
      </c>
      <c r="R41" s="126"/>
      <c r="S41" s="115" t="str">
        <f>IF(OR(T41="Preventivo",T41="Detectivo"),"Probabilidad",IF(T41="Correctivo","Impacto",""))</f>
        <v/>
      </c>
      <c r="T41" s="116"/>
      <c r="U41" s="116"/>
      <c r="V41" s="117" t="str">
        <f t="shared" si="41"/>
        <v/>
      </c>
      <c r="W41" s="116"/>
      <c r="X41" s="116"/>
      <c r="Y41" s="116"/>
      <c r="Z41" s="118" t="str">
        <f>IFERROR(IF(AND(S40="Probabilidad",S41="Probabilidad"),(AB40-(+AB40*V41)),IF(AND(S40="Impacto",S41="Probabilidad"),(AB39-(+AB39*V41)),IF(S41="Impacto",AB40,""))),"")</f>
        <v/>
      </c>
      <c r="AA41" s="119" t="str">
        <f t="shared" si="0"/>
        <v/>
      </c>
      <c r="AB41" s="117" t="str">
        <f t="shared" si="42"/>
        <v/>
      </c>
      <c r="AC41" s="119" t="str">
        <f t="shared" si="2"/>
        <v/>
      </c>
      <c r="AD41" s="117" t="str">
        <f>IFERROR(IF(AND(S40="Impacto",S41="Impacto"),(AD40-(+AD40*V41)),IF(AND(S40="Probabilidad",S41="Impacto"),(AD39-(+AD39*V41)),IF(S41="Probabilidad",AD40,""))),"")</f>
        <v/>
      </c>
      <c r="AE41" s="120" t="str">
        <f t="shared" si="43"/>
        <v/>
      </c>
      <c r="AF41" s="116"/>
      <c r="AG41" s="121"/>
      <c r="AH41" s="122"/>
      <c r="AI41" s="123"/>
      <c r="AJ41" s="123"/>
      <c r="AK41" s="121"/>
      <c r="AL41" s="122"/>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row>
    <row r="42" spans="1:70" x14ac:dyDescent="0.3">
      <c r="A42" s="211"/>
      <c r="B42" s="139"/>
      <c r="C42" s="139"/>
      <c r="D42" s="212"/>
      <c r="E42" s="204"/>
      <c r="F42" s="141"/>
      <c r="G42" s="212"/>
      <c r="H42" s="140"/>
      <c r="I42" s="213"/>
      <c r="J42" s="200"/>
      <c r="K42" s="201"/>
      <c r="L42" s="203"/>
      <c r="M42" s="201">
        <f t="shared" si="40"/>
        <v>0</v>
      </c>
      <c r="N42" s="200"/>
      <c r="O42" s="201"/>
      <c r="P42" s="202"/>
      <c r="Q42" s="113">
        <v>4</v>
      </c>
      <c r="R42" s="114"/>
      <c r="S42" s="115" t="str">
        <f t="shared" ref="S42:S44" si="44">IF(OR(T42="Preventivo",T42="Detectivo"),"Probabilidad",IF(T42="Correctivo","Impacto",""))</f>
        <v/>
      </c>
      <c r="T42" s="116"/>
      <c r="U42" s="116"/>
      <c r="V42" s="117" t="str">
        <f t="shared" si="41"/>
        <v/>
      </c>
      <c r="W42" s="116"/>
      <c r="X42" s="116"/>
      <c r="Y42" s="116"/>
      <c r="Z42" s="118" t="str">
        <f t="shared" ref="Z42:Z44" si="45">IFERROR(IF(AND(S41="Probabilidad",S42="Probabilidad"),(AB41-(+AB41*V42)),IF(AND(S41="Impacto",S42="Probabilidad"),(AB40-(+AB40*V42)),IF(S42="Impacto",AB41,""))),"")</f>
        <v/>
      </c>
      <c r="AA42" s="119" t="str">
        <f t="shared" si="0"/>
        <v/>
      </c>
      <c r="AB42" s="117" t="str">
        <f t="shared" si="42"/>
        <v/>
      </c>
      <c r="AC42" s="119" t="str">
        <f t="shared" si="2"/>
        <v/>
      </c>
      <c r="AD42" s="117" t="str">
        <f t="shared" ref="AD42:AD44" si="46">IFERROR(IF(AND(S41="Impacto",S42="Impacto"),(AD41-(+AD41*V42)),IF(AND(S41="Probabilidad",S42="Impacto"),(AD40-(+AD40*V42)),IF(S42="Probabilidad",AD41,""))),"")</f>
        <v/>
      </c>
      <c r="AE42" s="120" t="str">
        <f>IFERROR(IF(OR(AND(AA42="Muy Baja",AC42="Leve"),AND(AA42="Muy Baja",AC42="Menor"),AND(AA42="Baja",AC42="Leve")),"Bajo",IF(OR(AND(AA42="Muy baja",AC42="Moderado"),AND(AA42="Baja",AC42="Menor"),AND(AA42="Baja",AC42="Moderado"),AND(AA42="Media",AC42="Leve"),AND(AA42="Media",AC42="Menor"),AND(AA42="Media",AC42="Moderado"),AND(AA42="Alta",AC42="Leve"),AND(AA42="Alta",AC42="Menor")),"Moderado",IF(OR(AND(AA42="Muy Baja",AC42="Mayor"),AND(AA42="Baja",AC42="Mayor"),AND(AA42="Media",AC42="Mayor"),AND(AA42="Alta",AC42="Moderado"),AND(AA42="Alta",AC42="Mayor"),AND(AA42="Muy Alta",AC42="Leve"),AND(AA42="Muy Alta",AC42="Menor"),AND(AA42="Muy Alta",AC42="Moderado"),AND(AA42="Muy Alta",AC42="Mayor")),"Alto",IF(OR(AND(AA42="Muy Baja",AC42="Catastrófico"),AND(AA42="Baja",AC42="Catastrófico"),AND(AA42="Media",AC42="Catastrófico"),AND(AA42="Alta",AC42="Catastrófico"),AND(AA42="Muy Alta",AC42="Catastrófico")),"Extremo","")))),"")</f>
        <v/>
      </c>
      <c r="AF42" s="116"/>
      <c r="AG42" s="121"/>
      <c r="AH42" s="122"/>
      <c r="AI42" s="123"/>
      <c r="AJ42" s="123"/>
      <c r="AK42" s="121"/>
      <c r="AL42" s="122"/>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row>
    <row r="43" spans="1:70" x14ac:dyDescent="0.3">
      <c r="A43" s="211"/>
      <c r="B43" s="139"/>
      <c r="C43" s="139"/>
      <c r="D43" s="212"/>
      <c r="E43" s="204"/>
      <c r="F43" s="141"/>
      <c r="G43" s="212"/>
      <c r="H43" s="140"/>
      <c r="I43" s="213"/>
      <c r="J43" s="200"/>
      <c r="K43" s="201"/>
      <c r="L43" s="203"/>
      <c r="M43" s="201">
        <f t="shared" si="40"/>
        <v>0</v>
      </c>
      <c r="N43" s="200"/>
      <c r="O43" s="201"/>
      <c r="P43" s="202"/>
      <c r="Q43" s="113">
        <v>5</v>
      </c>
      <c r="R43" s="114"/>
      <c r="S43" s="115" t="str">
        <f t="shared" si="44"/>
        <v/>
      </c>
      <c r="T43" s="116"/>
      <c r="U43" s="116"/>
      <c r="V43" s="117" t="str">
        <f t="shared" si="41"/>
        <v/>
      </c>
      <c r="W43" s="116"/>
      <c r="X43" s="116"/>
      <c r="Y43" s="116"/>
      <c r="Z43" s="118" t="str">
        <f t="shared" si="45"/>
        <v/>
      </c>
      <c r="AA43" s="119" t="str">
        <f t="shared" si="0"/>
        <v/>
      </c>
      <c r="AB43" s="117" t="str">
        <f t="shared" si="42"/>
        <v/>
      </c>
      <c r="AC43" s="119" t="str">
        <f t="shared" si="2"/>
        <v/>
      </c>
      <c r="AD43" s="117" t="str">
        <f t="shared" si="46"/>
        <v/>
      </c>
      <c r="AE43" s="120" t="str">
        <f t="shared" ref="AE43" si="47">IFERROR(IF(OR(AND(AA43="Muy Baja",AC43="Leve"),AND(AA43="Muy Baja",AC43="Menor"),AND(AA43="Baja",AC43="Leve")),"Bajo",IF(OR(AND(AA43="Muy baja",AC43="Moderado"),AND(AA43="Baja",AC43="Menor"),AND(AA43="Baja",AC43="Moderado"),AND(AA43="Media",AC43="Leve"),AND(AA43="Media",AC43="Menor"),AND(AA43="Media",AC43="Moderado"),AND(AA43="Alta",AC43="Leve"),AND(AA43="Alta",AC43="Menor")),"Moderado",IF(OR(AND(AA43="Muy Baja",AC43="Mayor"),AND(AA43="Baja",AC43="Mayor"),AND(AA43="Media",AC43="Mayor"),AND(AA43="Alta",AC43="Moderado"),AND(AA43="Alta",AC43="Mayor"),AND(AA43="Muy Alta",AC43="Leve"),AND(AA43="Muy Alta",AC43="Menor"),AND(AA43="Muy Alta",AC43="Moderado"),AND(AA43="Muy Alta",AC43="Mayor")),"Alto",IF(OR(AND(AA43="Muy Baja",AC43="Catastrófico"),AND(AA43="Baja",AC43="Catastrófico"),AND(AA43="Media",AC43="Catastrófico"),AND(AA43="Alta",AC43="Catastrófico"),AND(AA43="Muy Alta",AC43="Catastrófico")),"Extremo","")))),"")</f>
        <v/>
      </c>
      <c r="AF43" s="116"/>
      <c r="AG43" s="121"/>
      <c r="AH43" s="122"/>
      <c r="AI43" s="123"/>
      <c r="AJ43" s="123"/>
      <c r="AK43" s="121"/>
      <c r="AL43" s="122"/>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row>
    <row r="44" spans="1:70" x14ac:dyDescent="0.3">
      <c r="A44" s="211"/>
      <c r="B44" s="139"/>
      <c r="C44" s="139"/>
      <c r="D44" s="212"/>
      <c r="E44" s="204"/>
      <c r="F44" s="141"/>
      <c r="G44" s="212"/>
      <c r="H44" s="140"/>
      <c r="I44" s="213"/>
      <c r="J44" s="200"/>
      <c r="K44" s="201"/>
      <c r="L44" s="203"/>
      <c r="M44" s="201">
        <f t="shared" si="40"/>
        <v>0</v>
      </c>
      <c r="N44" s="200"/>
      <c r="O44" s="201"/>
      <c r="P44" s="202"/>
      <c r="Q44" s="113">
        <v>6</v>
      </c>
      <c r="R44" s="114"/>
      <c r="S44" s="115" t="str">
        <f t="shared" si="44"/>
        <v/>
      </c>
      <c r="T44" s="116"/>
      <c r="U44" s="116"/>
      <c r="V44" s="117" t="str">
        <f t="shared" si="41"/>
        <v/>
      </c>
      <c r="W44" s="116"/>
      <c r="X44" s="116"/>
      <c r="Y44" s="116"/>
      <c r="Z44" s="118" t="str">
        <f t="shared" si="45"/>
        <v/>
      </c>
      <c r="AA44" s="119" t="str">
        <f t="shared" si="0"/>
        <v/>
      </c>
      <c r="AB44" s="117" t="str">
        <f t="shared" si="42"/>
        <v/>
      </c>
      <c r="AC44" s="119" t="str">
        <f>IFERROR(IF(AD44="","",IF(AD44&lt;=0.2,"Leve",IF(AD44&lt;=0.4,"Menor",IF(AD44&lt;=0.6,"Moderado",IF(AD44&lt;=0.8,"Mayor","Catastrófico"))))),"")</f>
        <v/>
      </c>
      <c r="AD44" s="117" t="str">
        <f t="shared" si="46"/>
        <v/>
      </c>
      <c r="AE44" s="120" t="str">
        <f>IFERROR(IF(OR(AND(AA44="Muy Baja",AC44="Leve"),AND(AA44="Muy Baja",AC44="Menor"),AND(AA44="Baja",AC44="Leve")),"Bajo",IF(OR(AND(AA44="Muy baja",AC44="Moderado"),AND(AA44="Baja",AC44="Menor"),AND(AA44="Baja",AC44="Moderado"),AND(AA44="Media",AC44="Leve"),AND(AA44="Media",AC44="Menor"),AND(AA44="Media",AC44="Moderado"),AND(AA44="Alta",AC44="Leve"),AND(AA44="Alta",AC44="Menor")),"Moderado",IF(OR(AND(AA44="Muy Baja",AC44="Mayor"),AND(AA44="Baja",AC44="Mayor"),AND(AA44="Media",AC44="Mayor"),AND(AA44="Alta",AC44="Moderado"),AND(AA44="Alta",AC44="Mayor"),AND(AA44="Muy Alta",AC44="Leve"),AND(AA44="Muy Alta",AC44="Menor"),AND(AA44="Muy Alta",AC44="Moderado"),AND(AA44="Muy Alta",AC44="Mayor")),"Alto",IF(OR(AND(AA44="Muy Baja",AC44="Catastrófico"),AND(AA44="Baja",AC44="Catastrófico"),AND(AA44="Media",AC44="Catastrófico"),AND(AA44="Alta",AC44="Catastrófico"),AND(AA44="Muy Alta",AC44="Catastrófico")),"Extremo","")))),"")</f>
        <v/>
      </c>
      <c r="AF44" s="116"/>
      <c r="AG44" s="121"/>
      <c r="AH44" s="122"/>
      <c r="AI44" s="123"/>
      <c r="AJ44" s="123"/>
      <c r="AK44" s="121"/>
      <c r="AL44" s="122"/>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row>
    <row r="45" spans="1:70" x14ac:dyDescent="0.3">
      <c r="A45" s="211">
        <v>7</v>
      </c>
      <c r="B45" s="139"/>
      <c r="C45" s="139"/>
      <c r="D45" s="212"/>
      <c r="E45" s="204"/>
      <c r="F45" s="141"/>
      <c r="G45" s="212"/>
      <c r="H45" s="140"/>
      <c r="I45" s="213"/>
      <c r="J45" s="200" t="str">
        <f>IF(I45&lt;=0,"",IF(I45&lt;=2,"Muy Baja",IF(I45&lt;=24,"Baja",IF(I45&lt;=500,"Media",IF(I45&lt;=5000,"Alta","Muy Alta")))))</f>
        <v/>
      </c>
      <c r="K45" s="201" t="str">
        <f>IF(J45="","",IF(J45="Muy Baja",0.2,IF(J45="Baja",0.4,IF(J45="Media",0.6,IF(J45="Alta",0.8,IF(J45="Muy Alta",1,))))))</f>
        <v/>
      </c>
      <c r="L45" s="203"/>
      <c r="M45" s="201">
        <f>IF(NOT(ISERROR(MATCH(L45,'Tabla Impacto'!$B$221:$B$223,0))),'Tabla Impacto'!$F$223&amp;"Por favor no seleccionar los criterios de impacto(Afectación Económica o presupuestal y Pérdida Reputacional)",L45)</f>
        <v>0</v>
      </c>
      <c r="N45" s="200" t="str">
        <f>IF(OR(M45='Tabla Impacto'!$C$11,M45='Tabla Impacto'!$D$11),"Leve",IF(OR(M45='Tabla Impacto'!$C$12,M45='Tabla Impacto'!$D$12),"Menor",IF(OR(M45='Tabla Impacto'!$C$13,M45='Tabla Impacto'!$D$13),"Moderado",IF(OR(M45='Tabla Impacto'!$C$14,M45='Tabla Impacto'!$D$14),"Mayor",IF(OR(M45='Tabla Impacto'!$C$15,M45='Tabla Impacto'!$D$15),"Catastrófico","")))))</f>
        <v/>
      </c>
      <c r="O45" s="201" t="str">
        <f>IF(N45="","",IF(N45="Leve",0.2,IF(N45="Menor",0.4,IF(N45="Moderado",0.6,IF(N45="Mayor",0.8,IF(N45="Catastrófico",1,))))))</f>
        <v/>
      </c>
      <c r="P45" s="202" t="str">
        <f>IF(OR(AND(J45="Muy Baja",N45="Leve"),AND(J45="Muy Baja",N45="Menor"),AND(J45="Baja",N45="Leve")),"Bajo",IF(OR(AND(J45="Muy baja",N45="Moderado"),AND(J45="Baja",N45="Menor"),AND(J45="Baja",N45="Moderado"),AND(J45="Media",N45="Leve"),AND(J45="Media",N45="Menor"),AND(J45="Media",N45="Moderado"),AND(J45="Alta",N45="Leve"),AND(J45="Alta",N45="Menor")),"Moderado",IF(OR(AND(J45="Muy Baja",N45="Mayor"),AND(J45="Baja",N45="Mayor"),AND(J45="Media",N45="Mayor"),AND(J45="Alta",N45="Moderado"),AND(J45="Alta",N45="Mayor"),AND(J45="Muy Alta",N45="Leve"),AND(J45="Muy Alta",N45="Menor"),AND(J45="Muy Alta",N45="Moderado"),AND(J45="Muy Alta",N45="Mayor")),"Alto",IF(OR(AND(J45="Muy Baja",N45="Catastrófico"),AND(J45="Baja",N45="Catastrófico"),AND(J45="Media",N45="Catastrófico"),AND(J45="Alta",N45="Catastrófico"),AND(J45="Muy Alta",N45="Catastrófico")),"Extremo",""))))</f>
        <v/>
      </c>
      <c r="Q45" s="113">
        <v>1</v>
      </c>
      <c r="R45" s="114"/>
      <c r="S45" s="115" t="str">
        <f>IF(OR(T45="Preventivo",T45="Detectivo"),"Probabilidad",IF(T45="Correctivo","Impacto",""))</f>
        <v/>
      </c>
      <c r="T45" s="116"/>
      <c r="U45" s="116"/>
      <c r="V45" s="117" t="str">
        <f>IF(AND(T45="Preventivo",U45="Automático"),"50%",IF(AND(T45="Preventivo",U45="Manual"),"40%",IF(AND(T45="Detectivo",U45="Automático"),"40%",IF(AND(T45="Detectivo",U45="Manual"),"30%",IF(AND(T45="Correctivo",U45="Automático"),"35%",IF(AND(T45="Correctivo",U45="Manual"),"25%",""))))))</f>
        <v/>
      </c>
      <c r="W45" s="116"/>
      <c r="X45" s="116"/>
      <c r="Y45" s="116"/>
      <c r="Z45" s="118" t="str">
        <f>IFERROR(IF(S45="Probabilidad",(K45-(+K45*V45)),IF(S45="Impacto",K45,"")),"")</f>
        <v/>
      </c>
      <c r="AA45" s="119" t="str">
        <f>IFERROR(IF(Z45="","",IF(Z45&lt;=0.2,"Muy Baja",IF(Z45&lt;=0.4,"Baja",IF(Z45&lt;=0.6,"Media",IF(Z45&lt;=0.8,"Alta","Muy Alta"))))),"")</f>
        <v/>
      </c>
      <c r="AB45" s="117" t="str">
        <f>+Z45</f>
        <v/>
      </c>
      <c r="AC45" s="119" t="str">
        <f>IFERROR(IF(AD45="","",IF(AD45&lt;=0.2,"Leve",IF(AD45&lt;=0.4,"Menor",IF(AD45&lt;=0.6,"Moderado",IF(AD45&lt;=0.8,"Mayor","Catastrófico"))))),"")</f>
        <v/>
      </c>
      <c r="AD45" s="117" t="str">
        <f>IFERROR(IF(S45="Impacto",(O45-(+O45*V45)),IF(S45="Probabilidad",O45,"")),"")</f>
        <v/>
      </c>
      <c r="AE45" s="120" t="str">
        <f>IFERROR(IF(OR(AND(AA45="Muy Baja",AC45="Leve"),AND(AA45="Muy Baja",AC45="Menor"),AND(AA45="Baja",AC45="Leve")),"Bajo",IF(OR(AND(AA45="Muy baja",AC45="Moderado"),AND(AA45="Baja",AC45="Menor"),AND(AA45="Baja",AC45="Moderado"),AND(AA45="Media",AC45="Leve"),AND(AA45="Media",AC45="Menor"),AND(AA45="Media",AC45="Moderado"),AND(AA45="Alta",AC45="Leve"),AND(AA45="Alta",AC45="Menor")),"Moderado",IF(OR(AND(AA45="Muy Baja",AC45="Mayor"),AND(AA45="Baja",AC45="Mayor"),AND(AA45="Media",AC45="Mayor"),AND(AA45="Alta",AC45="Moderado"),AND(AA45="Alta",AC45="Mayor"),AND(AA45="Muy Alta",AC45="Leve"),AND(AA45="Muy Alta",AC45="Menor"),AND(AA45="Muy Alta",AC45="Moderado"),AND(AA45="Muy Alta",AC45="Mayor")),"Alto",IF(OR(AND(AA45="Muy Baja",AC45="Catastrófico"),AND(AA45="Baja",AC45="Catastrófico"),AND(AA45="Media",AC45="Catastrófico"),AND(AA45="Alta",AC45="Catastrófico"),AND(AA45="Muy Alta",AC45="Catastrófico")),"Extremo","")))),"")</f>
        <v/>
      </c>
      <c r="AF45" s="116"/>
      <c r="AG45" s="121"/>
      <c r="AH45" s="122"/>
      <c r="AI45" s="123"/>
      <c r="AJ45" s="123"/>
      <c r="AK45" s="121"/>
      <c r="AL45" s="122"/>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row>
    <row r="46" spans="1:70" x14ac:dyDescent="0.3">
      <c r="A46" s="211"/>
      <c r="B46" s="139"/>
      <c r="C46" s="139"/>
      <c r="D46" s="212"/>
      <c r="E46" s="204"/>
      <c r="F46" s="141"/>
      <c r="G46" s="212"/>
      <c r="H46" s="140"/>
      <c r="I46" s="213"/>
      <c r="J46" s="200"/>
      <c r="K46" s="201"/>
      <c r="L46" s="203"/>
      <c r="M46" s="201">
        <f t="shared" ref="M46:M50" si="48">IF(NOT(ISERROR(MATCH(L46,_xlfn.ANCHORARRAY(E57),0))),K59&amp;"Por favor no seleccionar los criterios de impacto",L46)</f>
        <v>0</v>
      </c>
      <c r="N46" s="200"/>
      <c r="O46" s="201"/>
      <c r="P46" s="202"/>
      <c r="Q46" s="113">
        <v>2</v>
      </c>
      <c r="R46" s="114"/>
      <c r="S46" s="115" t="str">
        <f>IF(OR(T46="Preventivo",T46="Detectivo"),"Probabilidad",IF(T46="Correctivo","Impacto",""))</f>
        <v/>
      </c>
      <c r="T46" s="116"/>
      <c r="U46" s="116"/>
      <c r="V46" s="117" t="str">
        <f t="shared" ref="V46:V50" si="49">IF(AND(T46="Preventivo",U46="Automático"),"50%",IF(AND(T46="Preventivo",U46="Manual"),"40%",IF(AND(T46="Detectivo",U46="Automático"),"40%",IF(AND(T46="Detectivo",U46="Manual"),"30%",IF(AND(T46="Correctivo",U46="Automático"),"35%",IF(AND(T46="Correctivo",U46="Manual"),"25%",""))))))</f>
        <v/>
      </c>
      <c r="W46" s="116"/>
      <c r="X46" s="116"/>
      <c r="Y46" s="116"/>
      <c r="Z46" s="118" t="str">
        <f>IFERROR(IF(AND(S45="Probabilidad",S46="Probabilidad"),(AB45-(+AB45*V46)),IF(S46="Probabilidad",(K45-(+K45*V46)),IF(S46="Impacto",AB45,""))),"")</f>
        <v/>
      </c>
      <c r="AA46" s="119" t="str">
        <f t="shared" si="0"/>
        <v/>
      </c>
      <c r="AB46" s="117" t="str">
        <f t="shared" ref="AB46:AB50" si="50">+Z46</f>
        <v/>
      </c>
      <c r="AC46" s="119" t="str">
        <f t="shared" si="2"/>
        <v/>
      </c>
      <c r="AD46" s="117" t="str">
        <f>IFERROR(IF(AND(S45="Impacto",S46="Impacto"),(AD39-(+AD39*V46)),IF(S46="Impacto",($O$45-(+$O$45*V46)),IF(S46="Probabilidad",AD39,""))),"")</f>
        <v/>
      </c>
      <c r="AE46" s="120" t="str">
        <f t="shared" ref="AE46:AE47" si="51">IFERROR(IF(OR(AND(AA46="Muy Baja",AC46="Leve"),AND(AA46="Muy Baja",AC46="Menor"),AND(AA46="Baja",AC46="Leve")),"Bajo",IF(OR(AND(AA46="Muy baja",AC46="Moderado"),AND(AA46="Baja",AC46="Menor"),AND(AA46="Baja",AC46="Moderado"),AND(AA46="Media",AC46="Leve"),AND(AA46="Media",AC46="Menor"),AND(AA46="Media",AC46="Moderado"),AND(AA46="Alta",AC46="Leve"),AND(AA46="Alta",AC46="Menor")),"Moderado",IF(OR(AND(AA46="Muy Baja",AC46="Mayor"),AND(AA46="Baja",AC46="Mayor"),AND(AA46="Media",AC46="Mayor"),AND(AA46="Alta",AC46="Moderado"),AND(AA46="Alta",AC46="Mayor"),AND(AA46="Muy Alta",AC46="Leve"),AND(AA46="Muy Alta",AC46="Menor"),AND(AA46="Muy Alta",AC46="Moderado"),AND(AA46="Muy Alta",AC46="Mayor")),"Alto",IF(OR(AND(AA46="Muy Baja",AC46="Catastrófico"),AND(AA46="Baja",AC46="Catastrófico"),AND(AA46="Media",AC46="Catastrófico"),AND(AA46="Alta",AC46="Catastrófico"),AND(AA46="Muy Alta",AC46="Catastrófico")),"Extremo","")))),"")</f>
        <v/>
      </c>
      <c r="AF46" s="116"/>
      <c r="AG46" s="121"/>
      <c r="AH46" s="122"/>
      <c r="AI46" s="123"/>
      <c r="AJ46" s="123"/>
      <c r="AK46" s="121"/>
      <c r="AL46" s="122"/>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row>
    <row r="47" spans="1:70" x14ac:dyDescent="0.3">
      <c r="A47" s="211"/>
      <c r="B47" s="139"/>
      <c r="C47" s="139"/>
      <c r="D47" s="212"/>
      <c r="E47" s="204"/>
      <c r="F47" s="141"/>
      <c r="G47" s="212"/>
      <c r="H47" s="140"/>
      <c r="I47" s="213"/>
      <c r="J47" s="200"/>
      <c r="K47" s="201"/>
      <c r="L47" s="203"/>
      <c r="M47" s="201">
        <f t="shared" si="48"/>
        <v>0</v>
      </c>
      <c r="N47" s="200"/>
      <c r="O47" s="201"/>
      <c r="P47" s="202"/>
      <c r="Q47" s="113">
        <v>3</v>
      </c>
      <c r="R47" s="126"/>
      <c r="S47" s="115" t="str">
        <f>IF(OR(T47="Preventivo",T47="Detectivo"),"Probabilidad",IF(T47="Correctivo","Impacto",""))</f>
        <v/>
      </c>
      <c r="T47" s="116"/>
      <c r="U47" s="116"/>
      <c r="V47" s="117" t="str">
        <f t="shared" si="49"/>
        <v/>
      </c>
      <c r="W47" s="116"/>
      <c r="X47" s="116"/>
      <c r="Y47" s="116"/>
      <c r="Z47" s="118" t="str">
        <f>IFERROR(IF(AND(S46="Probabilidad",S47="Probabilidad"),(AB46-(+AB46*V47)),IF(AND(S46="Impacto",S47="Probabilidad"),(AB45-(+AB45*V47)),IF(S47="Impacto",AB46,""))),"")</f>
        <v/>
      </c>
      <c r="AA47" s="119" t="str">
        <f t="shared" si="0"/>
        <v/>
      </c>
      <c r="AB47" s="117" t="str">
        <f t="shared" si="50"/>
        <v/>
      </c>
      <c r="AC47" s="119" t="str">
        <f t="shared" si="2"/>
        <v/>
      </c>
      <c r="AD47" s="117" t="str">
        <f>IFERROR(IF(AND(S46="Impacto",S47="Impacto"),(AD46-(+AD46*V47)),IF(AND(S46="Probabilidad",S47="Impacto"),(AD45-(+AD45*V47)),IF(S47="Probabilidad",AD46,""))),"")</f>
        <v/>
      </c>
      <c r="AE47" s="120" t="str">
        <f t="shared" si="51"/>
        <v/>
      </c>
      <c r="AF47" s="116"/>
      <c r="AG47" s="121"/>
      <c r="AH47" s="122"/>
      <c r="AI47" s="123"/>
      <c r="AJ47" s="123"/>
      <c r="AK47" s="121"/>
      <c r="AL47" s="122"/>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row>
    <row r="48" spans="1:70" x14ac:dyDescent="0.3">
      <c r="A48" s="211"/>
      <c r="B48" s="139"/>
      <c r="C48" s="139"/>
      <c r="D48" s="212"/>
      <c r="E48" s="204"/>
      <c r="F48" s="141"/>
      <c r="G48" s="212"/>
      <c r="H48" s="140"/>
      <c r="I48" s="213"/>
      <c r="J48" s="200"/>
      <c r="K48" s="201"/>
      <c r="L48" s="203"/>
      <c r="M48" s="201">
        <f t="shared" si="48"/>
        <v>0</v>
      </c>
      <c r="N48" s="200"/>
      <c r="O48" s="201"/>
      <c r="P48" s="202"/>
      <c r="Q48" s="113">
        <v>4</v>
      </c>
      <c r="R48" s="114"/>
      <c r="S48" s="115" t="str">
        <f t="shared" ref="S48:S50" si="52">IF(OR(T48="Preventivo",T48="Detectivo"),"Probabilidad",IF(T48="Correctivo","Impacto",""))</f>
        <v/>
      </c>
      <c r="T48" s="116"/>
      <c r="U48" s="116"/>
      <c r="V48" s="117" t="str">
        <f t="shared" si="49"/>
        <v/>
      </c>
      <c r="W48" s="116"/>
      <c r="X48" s="116"/>
      <c r="Y48" s="116"/>
      <c r="Z48" s="118" t="str">
        <f t="shared" ref="Z48:Z50" si="53">IFERROR(IF(AND(S47="Probabilidad",S48="Probabilidad"),(AB47-(+AB47*V48)),IF(AND(S47="Impacto",S48="Probabilidad"),(AB46-(+AB46*V48)),IF(S48="Impacto",AB47,""))),"")</f>
        <v/>
      </c>
      <c r="AA48" s="119" t="str">
        <f t="shared" si="0"/>
        <v/>
      </c>
      <c r="AB48" s="117" t="str">
        <f t="shared" si="50"/>
        <v/>
      </c>
      <c r="AC48" s="119" t="str">
        <f t="shared" si="2"/>
        <v/>
      </c>
      <c r="AD48" s="117" t="str">
        <f t="shared" ref="AD48:AD50" si="54">IFERROR(IF(AND(S47="Impacto",S48="Impacto"),(AD47-(+AD47*V48)),IF(AND(S47="Probabilidad",S48="Impacto"),(AD46-(+AD46*V48)),IF(S48="Probabilidad",AD47,""))),"")</f>
        <v/>
      </c>
      <c r="AE48" s="120" t="str">
        <f>IFERROR(IF(OR(AND(AA48="Muy Baja",AC48="Leve"),AND(AA48="Muy Baja",AC48="Menor"),AND(AA48="Baja",AC48="Leve")),"Bajo",IF(OR(AND(AA48="Muy baja",AC48="Moderado"),AND(AA48="Baja",AC48="Menor"),AND(AA48="Baja",AC48="Moderado"),AND(AA48="Media",AC48="Leve"),AND(AA48="Media",AC48="Menor"),AND(AA48="Media",AC48="Moderado"),AND(AA48="Alta",AC48="Leve"),AND(AA48="Alta",AC48="Menor")),"Moderado",IF(OR(AND(AA48="Muy Baja",AC48="Mayor"),AND(AA48="Baja",AC48="Mayor"),AND(AA48="Media",AC48="Mayor"),AND(AA48="Alta",AC48="Moderado"),AND(AA48="Alta",AC48="Mayor"),AND(AA48="Muy Alta",AC48="Leve"),AND(AA48="Muy Alta",AC48="Menor"),AND(AA48="Muy Alta",AC48="Moderado"),AND(AA48="Muy Alta",AC48="Mayor")),"Alto",IF(OR(AND(AA48="Muy Baja",AC48="Catastrófico"),AND(AA48="Baja",AC48="Catastrófico"),AND(AA48="Media",AC48="Catastrófico"),AND(AA48="Alta",AC48="Catastrófico"),AND(AA48="Muy Alta",AC48="Catastrófico")),"Extremo","")))),"")</f>
        <v/>
      </c>
      <c r="AF48" s="116"/>
      <c r="AG48" s="121"/>
      <c r="AH48" s="122"/>
      <c r="AI48" s="123"/>
      <c r="AJ48" s="123"/>
      <c r="AK48" s="121"/>
      <c r="AL48" s="122"/>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row>
    <row r="49" spans="1:70" x14ac:dyDescent="0.3">
      <c r="A49" s="211"/>
      <c r="B49" s="139"/>
      <c r="C49" s="139"/>
      <c r="D49" s="212"/>
      <c r="E49" s="204"/>
      <c r="F49" s="141"/>
      <c r="G49" s="212"/>
      <c r="H49" s="140"/>
      <c r="I49" s="213"/>
      <c r="J49" s="200"/>
      <c r="K49" s="201"/>
      <c r="L49" s="203"/>
      <c r="M49" s="201">
        <f t="shared" si="48"/>
        <v>0</v>
      </c>
      <c r="N49" s="200"/>
      <c r="O49" s="201"/>
      <c r="P49" s="202"/>
      <c r="Q49" s="113">
        <v>5</v>
      </c>
      <c r="R49" s="114"/>
      <c r="S49" s="115" t="str">
        <f t="shared" si="52"/>
        <v/>
      </c>
      <c r="T49" s="116"/>
      <c r="U49" s="116"/>
      <c r="V49" s="117" t="str">
        <f t="shared" si="49"/>
        <v/>
      </c>
      <c r="W49" s="116"/>
      <c r="X49" s="116"/>
      <c r="Y49" s="116"/>
      <c r="Z49" s="118" t="str">
        <f t="shared" si="53"/>
        <v/>
      </c>
      <c r="AA49" s="119" t="str">
        <f t="shared" si="0"/>
        <v/>
      </c>
      <c r="AB49" s="117" t="str">
        <f t="shared" si="50"/>
        <v/>
      </c>
      <c r="AC49" s="119" t="str">
        <f t="shared" si="2"/>
        <v/>
      </c>
      <c r="AD49" s="117" t="str">
        <f t="shared" si="54"/>
        <v/>
      </c>
      <c r="AE49" s="120" t="str">
        <f t="shared" ref="AE49:AE50" si="55">IFERROR(IF(OR(AND(AA49="Muy Baja",AC49="Leve"),AND(AA49="Muy Baja",AC49="Menor"),AND(AA49="Baja",AC49="Leve")),"Bajo",IF(OR(AND(AA49="Muy baja",AC49="Moderado"),AND(AA49="Baja",AC49="Menor"),AND(AA49="Baja",AC49="Moderado"),AND(AA49="Media",AC49="Leve"),AND(AA49="Media",AC49="Menor"),AND(AA49="Media",AC49="Moderado"),AND(AA49="Alta",AC49="Leve"),AND(AA49="Alta",AC49="Menor")),"Moderado",IF(OR(AND(AA49="Muy Baja",AC49="Mayor"),AND(AA49="Baja",AC49="Mayor"),AND(AA49="Media",AC49="Mayor"),AND(AA49="Alta",AC49="Moderado"),AND(AA49="Alta",AC49="Mayor"),AND(AA49="Muy Alta",AC49="Leve"),AND(AA49="Muy Alta",AC49="Menor"),AND(AA49="Muy Alta",AC49="Moderado"),AND(AA49="Muy Alta",AC49="Mayor")),"Alto",IF(OR(AND(AA49="Muy Baja",AC49="Catastrófico"),AND(AA49="Baja",AC49="Catastrófico"),AND(AA49="Media",AC49="Catastrófico"),AND(AA49="Alta",AC49="Catastrófico"),AND(AA49="Muy Alta",AC49="Catastrófico")),"Extremo","")))),"")</f>
        <v/>
      </c>
      <c r="AF49" s="116"/>
      <c r="AG49" s="121"/>
      <c r="AH49" s="122"/>
      <c r="AI49" s="123"/>
      <c r="AJ49" s="123"/>
      <c r="AK49" s="121"/>
      <c r="AL49" s="122"/>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row>
    <row r="50" spans="1:70" x14ac:dyDescent="0.3">
      <c r="A50" s="211"/>
      <c r="B50" s="139"/>
      <c r="C50" s="139"/>
      <c r="D50" s="212"/>
      <c r="E50" s="204"/>
      <c r="F50" s="141"/>
      <c r="G50" s="212"/>
      <c r="H50" s="140"/>
      <c r="I50" s="213"/>
      <c r="J50" s="200"/>
      <c r="K50" s="201"/>
      <c r="L50" s="203"/>
      <c r="M50" s="201">
        <f t="shared" si="48"/>
        <v>0</v>
      </c>
      <c r="N50" s="200"/>
      <c r="O50" s="201"/>
      <c r="P50" s="202"/>
      <c r="Q50" s="113">
        <v>6</v>
      </c>
      <c r="R50" s="114"/>
      <c r="S50" s="115" t="str">
        <f t="shared" si="52"/>
        <v/>
      </c>
      <c r="T50" s="116"/>
      <c r="U50" s="116"/>
      <c r="V50" s="117" t="str">
        <f t="shared" si="49"/>
        <v/>
      </c>
      <c r="W50" s="116"/>
      <c r="X50" s="116"/>
      <c r="Y50" s="116"/>
      <c r="Z50" s="118" t="str">
        <f t="shared" si="53"/>
        <v/>
      </c>
      <c r="AA50" s="119" t="str">
        <f t="shared" si="0"/>
        <v/>
      </c>
      <c r="AB50" s="117" t="str">
        <f t="shared" si="50"/>
        <v/>
      </c>
      <c r="AC50" s="119" t="str">
        <f t="shared" si="2"/>
        <v/>
      </c>
      <c r="AD50" s="117" t="str">
        <f t="shared" si="54"/>
        <v/>
      </c>
      <c r="AE50" s="120" t="str">
        <f t="shared" si="55"/>
        <v/>
      </c>
      <c r="AF50" s="116"/>
      <c r="AG50" s="121"/>
      <c r="AH50" s="122"/>
      <c r="AI50" s="123"/>
      <c r="AJ50" s="123"/>
      <c r="AK50" s="121"/>
      <c r="AL50" s="122"/>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row>
    <row r="51" spans="1:70" x14ac:dyDescent="0.3">
      <c r="A51" s="211">
        <v>8</v>
      </c>
      <c r="B51" s="139"/>
      <c r="C51" s="139"/>
      <c r="D51" s="212"/>
      <c r="E51" s="204"/>
      <c r="F51" s="141"/>
      <c r="G51" s="212"/>
      <c r="H51" s="140"/>
      <c r="I51" s="213"/>
      <c r="J51" s="200" t="str">
        <f>IF(I51&lt;=0,"",IF(I51&lt;=2,"Muy Baja",IF(I51&lt;=24,"Baja",IF(I51&lt;=500,"Media",IF(I51&lt;=5000,"Alta","Muy Alta")))))</f>
        <v/>
      </c>
      <c r="K51" s="201" t="str">
        <f>IF(J51="","",IF(J51="Muy Baja",0.2,IF(J51="Baja",0.4,IF(J51="Media",0.6,IF(J51="Alta",0.8,IF(J51="Muy Alta",1,))))))</f>
        <v/>
      </c>
      <c r="L51" s="203"/>
      <c r="M51" s="201">
        <f>IF(NOT(ISERROR(MATCH(L51,'Tabla Impacto'!$B$221:$B$223,0))),'Tabla Impacto'!$F$223&amp;"Por favor no seleccionar los criterios de impacto(Afectación Económica o presupuestal y Pérdida Reputacional)",L51)</f>
        <v>0</v>
      </c>
      <c r="N51" s="200" t="str">
        <f>IF(OR(M51='Tabla Impacto'!$C$11,M51='Tabla Impacto'!$D$11),"Leve",IF(OR(M51='Tabla Impacto'!$C$12,M51='Tabla Impacto'!$D$12),"Menor",IF(OR(M51='Tabla Impacto'!$C$13,M51='Tabla Impacto'!$D$13),"Moderado",IF(OR(M51='Tabla Impacto'!$C$14,M51='Tabla Impacto'!$D$14),"Mayor",IF(OR(M51='Tabla Impacto'!$C$15,M51='Tabla Impacto'!$D$15),"Catastrófico","")))))</f>
        <v/>
      </c>
      <c r="O51" s="201" t="str">
        <f>IF(N51="","",IF(N51="Leve",0.2,IF(N51="Menor",0.4,IF(N51="Moderado",0.6,IF(N51="Mayor",0.8,IF(N51="Catastrófico",1,))))))</f>
        <v/>
      </c>
      <c r="P51" s="202" t="str">
        <f>IF(OR(AND(J51="Muy Baja",N51="Leve"),AND(J51="Muy Baja",N51="Menor"),AND(J51="Baja",N51="Leve")),"Bajo",IF(OR(AND(J51="Muy baja",N51="Moderado"),AND(J51="Baja",N51="Menor"),AND(J51="Baja",N51="Moderado"),AND(J51="Media",N51="Leve"),AND(J51="Media",N51="Menor"),AND(J51="Media",N51="Moderado"),AND(J51="Alta",N51="Leve"),AND(J51="Alta",N51="Menor")),"Moderado",IF(OR(AND(J51="Muy Baja",N51="Mayor"),AND(J51="Baja",N51="Mayor"),AND(J51="Media",N51="Mayor"),AND(J51="Alta",N51="Moderado"),AND(J51="Alta",N51="Mayor"),AND(J51="Muy Alta",N51="Leve"),AND(J51="Muy Alta",N51="Menor"),AND(J51="Muy Alta",N51="Moderado"),AND(J51="Muy Alta",N51="Mayor")),"Alto",IF(OR(AND(J51="Muy Baja",N51="Catastrófico"),AND(J51="Baja",N51="Catastrófico"),AND(J51="Media",N51="Catastrófico"),AND(J51="Alta",N51="Catastrófico"),AND(J51="Muy Alta",N51="Catastrófico")),"Extremo",""))))</f>
        <v/>
      </c>
      <c r="Q51" s="113">
        <v>1</v>
      </c>
      <c r="R51" s="114"/>
      <c r="S51" s="115" t="str">
        <f>IF(OR(T51="Preventivo",T51="Detectivo"),"Probabilidad",IF(T51="Correctivo","Impacto",""))</f>
        <v/>
      </c>
      <c r="T51" s="116"/>
      <c r="U51" s="116"/>
      <c r="V51" s="117" t="str">
        <f>IF(AND(T51="Preventivo",U51="Automático"),"50%",IF(AND(T51="Preventivo",U51="Manual"),"40%",IF(AND(T51="Detectivo",U51="Automático"),"40%",IF(AND(T51="Detectivo",U51="Manual"),"30%",IF(AND(T51="Correctivo",U51="Automático"),"35%",IF(AND(T51="Correctivo",U51="Manual"),"25%",""))))))</f>
        <v/>
      </c>
      <c r="W51" s="116"/>
      <c r="X51" s="116"/>
      <c r="Y51" s="116"/>
      <c r="Z51" s="118" t="str">
        <f>IFERROR(IF(S51="Probabilidad",(K51-(+K51*V51)),IF(S51="Impacto",K51,"")),"")</f>
        <v/>
      </c>
      <c r="AA51" s="119" t="str">
        <f>IFERROR(IF(Z51="","",IF(Z51&lt;=0.2,"Muy Baja",IF(Z51&lt;=0.4,"Baja",IF(Z51&lt;=0.6,"Media",IF(Z51&lt;=0.8,"Alta","Muy Alta"))))),"")</f>
        <v/>
      </c>
      <c r="AB51" s="117" t="str">
        <f>+Z51</f>
        <v/>
      </c>
      <c r="AC51" s="119" t="str">
        <f>IFERROR(IF(AD51="","",IF(AD51&lt;=0.2,"Leve",IF(AD51&lt;=0.4,"Menor",IF(AD51&lt;=0.6,"Moderado",IF(AD51&lt;=0.8,"Mayor","Catastrófico"))))),"")</f>
        <v/>
      </c>
      <c r="AD51" s="117" t="str">
        <f>IFERROR(IF(S51="Impacto",(O51-(+O51*V51)),IF(S51="Probabilidad",O51,"")),"")</f>
        <v/>
      </c>
      <c r="AE51" s="120" t="str">
        <f>IFERROR(IF(OR(AND(AA51="Muy Baja",AC51="Leve"),AND(AA51="Muy Baja",AC51="Menor"),AND(AA51="Baja",AC51="Leve")),"Bajo",IF(OR(AND(AA51="Muy baja",AC51="Moderado"),AND(AA51="Baja",AC51="Menor"),AND(AA51="Baja",AC51="Moderado"),AND(AA51="Media",AC51="Leve"),AND(AA51="Media",AC51="Menor"),AND(AA51="Media",AC51="Moderado"),AND(AA51="Alta",AC51="Leve"),AND(AA51="Alta",AC51="Menor")),"Moderado",IF(OR(AND(AA51="Muy Baja",AC51="Mayor"),AND(AA51="Baja",AC51="Mayor"),AND(AA51="Media",AC51="Mayor"),AND(AA51="Alta",AC51="Moderado"),AND(AA51="Alta",AC51="Mayor"),AND(AA51="Muy Alta",AC51="Leve"),AND(AA51="Muy Alta",AC51="Menor"),AND(AA51="Muy Alta",AC51="Moderado"),AND(AA51="Muy Alta",AC51="Mayor")),"Alto",IF(OR(AND(AA51="Muy Baja",AC51="Catastrófico"),AND(AA51="Baja",AC51="Catastrófico"),AND(AA51="Media",AC51="Catastrófico"),AND(AA51="Alta",AC51="Catastrófico"),AND(AA51="Muy Alta",AC51="Catastrófico")),"Extremo","")))),"")</f>
        <v/>
      </c>
      <c r="AF51" s="116"/>
      <c r="AG51" s="121"/>
      <c r="AH51" s="122"/>
      <c r="AI51" s="123"/>
      <c r="AJ51" s="123"/>
      <c r="AK51" s="121"/>
      <c r="AL51" s="122"/>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row>
    <row r="52" spans="1:70" x14ac:dyDescent="0.3">
      <c r="A52" s="211"/>
      <c r="B52" s="139"/>
      <c r="C52" s="139"/>
      <c r="D52" s="212"/>
      <c r="E52" s="204"/>
      <c r="F52" s="141"/>
      <c r="G52" s="212"/>
      <c r="H52" s="140"/>
      <c r="I52" s="213"/>
      <c r="J52" s="200"/>
      <c r="K52" s="201"/>
      <c r="L52" s="203"/>
      <c r="M52" s="201">
        <f>IF(NOT(ISERROR(MATCH(L52,_xlfn.ANCHORARRAY(E63),0))),K65&amp;"Por favor no seleccionar los criterios de impacto",L52)</f>
        <v>0</v>
      </c>
      <c r="N52" s="200"/>
      <c r="O52" s="201"/>
      <c r="P52" s="202"/>
      <c r="Q52" s="113">
        <v>2</v>
      </c>
      <c r="R52" s="114"/>
      <c r="S52" s="115" t="str">
        <f>IF(OR(T52="Preventivo",T52="Detectivo"),"Probabilidad",IF(T52="Correctivo","Impacto",""))</f>
        <v/>
      </c>
      <c r="T52" s="116"/>
      <c r="U52" s="116"/>
      <c r="V52" s="117" t="str">
        <f t="shared" ref="V52:V56" si="56">IF(AND(T52="Preventivo",U52="Automático"),"50%",IF(AND(T52="Preventivo",U52="Manual"),"40%",IF(AND(T52="Detectivo",U52="Automático"),"40%",IF(AND(T52="Detectivo",U52="Manual"),"30%",IF(AND(T52="Correctivo",U52="Automático"),"35%",IF(AND(T52="Correctivo",U52="Manual"),"25%",""))))))</f>
        <v/>
      </c>
      <c r="W52" s="116"/>
      <c r="X52" s="116"/>
      <c r="Y52" s="116"/>
      <c r="Z52" s="118" t="str">
        <f>IFERROR(IF(AND(S51="Probabilidad",S52="Probabilidad"),(AB51-(+AB51*V52)),IF(S52="Probabilidad",(K51-(+K51*V52)),IF(S52="Impacto",AB51,""))),"")</f>
        <v/>
      </c>
      <c r="AA52" s="119" t="str">
        <f t="shared" si="0"/>
        <v/>
      </c>
      <c r="AB52" s="117" t="str">
        <f t="shared" ref="AB52:AB56" si="57">+Z52</f>
        <v/>
      </c>
      <c r="AC52" s="119" t="str">
        <f t="shared" si="2"/>
        <v/>
      </c>
      <c r="AD52" s="117" t="str">
        <f>IFERROR(IF(AND(S51="Impacto",S52="Impacto"),(AD45-(+AD45*V52)),IF(S52="Impacto",($O$51-(+$O$51*V52)),IF(S52="Probabilidad",AD45,""))),"")</f>
        <v/>
      </c>
      <c r="AE52" s="120" t="str">
        <f t="shared" ref="AE52:AE53" si="58">IFERROR(IF(OR(AND(AA52="Muy Baja",AC52="Leve"),AND(AA52="Muy Baja",AC52="Menor"),AND(AA52="Baja",AC52="Leve")),"Bajo",IF(OR(AND(AA52="Muy baja",AC52="Moderado"),AND(AA52="Baja",AC52="Menor"),AND(AA52="Baja",AC52="Moderado"),AND(AA52="Media",AC52="Leve"),AND(AA52="Media",AC52="Menor"),AND(AA52="Media",AC52="Moderado"),AND(AA52="Alta",AC52="Leve"),AND(AA52="Alta",AC52="Menor")),"Moderado",IF(OR(AND(AA52="Muy Baja",AC52="Mayor"),AND(AA52="Baja",AC52="Mayor"),AND(AA52="Media",AC52="Mayor"),AND(AA52="Alta",AC52="Moderado"),AND(AA52="Alta",AC52="Mayor"),AND(AA52="Muy Alta",AC52="Leve"),AND(AA52="Muy Alta",AC52="Menor"),AND(AA52="Muy Alta",AC52="Moderado"),AND(AA52="Muy Alta",AC52="Mayor")),"Alto",IF(OR(AND(AA52="Muy Baja",AC52="Catastrófico"),AND(AA52="Baja",AC52="Catastrófico"),AND(AA52="Media",AC52="Catastrófico"),AND(AA52="Alta",AC52="Catastrófico"),AND(AA52="Muy Alta",AC52="Catastrófico")),"Extremo","")))),"")</f>
        <v/>
      </c>
      <c r="AF52" s="116"/>
      <c r="AG52" s="121"/>
      <c r="AH52" s="122"/>
      <c r="AI52" s="123"/>
      <c r="AJ52" s="123"/>
      <c r="AK52" s="121"/>
      <c r="AL52" s="122"/>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row>
    <row r="53" spans="1:70" x14ac:dyDescent="0.3">
      <c r="A53" s="211"/>
      <c r="B53" s="139"/>
      <c r="C53" s="139"/>
      <c r="D53" s="212"/>
      <c r="E53" s="204"/>
      <c r="F53" s="141"/>
      <c r="G53" s="212"/>
      <c r="H53" s="140"/>
      <c r="I53" s="213"/>
      <c r="J53" s="200"/>
      <c r="K53" s="201"/>
      <c r="L53" s="203"/>
      <c r="M53" s="201">
        <f>IF(NOT(ISERROR(MATCH(L53,_xlfn.ANCHORARRAY(E64),0))),K66&amp;"Por favor no seleccionar los criterios de impacto",L53)</f>
        <v>0</v>
      </c>
      <c r="N53" s="200"/>
      <c r="O53" s="201"/>
      <c r="P53" s="202"/>
      <c r="Q53" s="113">
        <v>3</v>
      </c>
      <c r="R53" s="126"/>
      <c r="S53" s="115" t="str">
        <f>IF(OR(T53="Preventivo",T53="Detectivo"),"Probabilidad",IF(T53="Correctivo","Impacto",""))</f>
        <v/>
      </c>
      <c r="T53" s="116"/>
      <c r="U53" s="116"/>
      <c r="V53" s="117" t="str">
        <f t="shared" si="56"/>
        <v/>
      </c>
      <c r="W53" s="116"/>
      <c r="X53" s="116"/>
      <c r="Y53" s="116"/>
      <c r="Z53" s="118" t="str">
        <f>IFERROR(IF(AND(S52="Probabilidad",S53="Probabilidad"),(AB52-(+AB52*V53)),IF(AND(S52="Impacto",S53="Probabilidad"),(AB51-(+AB51*V53)),IF(S53="Impacto",AB52,""))),"")</f>
        <v/>
      </c>
      <c r="AA53" s="119" t="str">
        <f t="shared" si="0"/>
        <v/>
      </c>
      <c r="AB53" s="117" t="str">
        <f t="shared" si="57"/>
        <v/>
      </c>
      <c r="AC53" s="119" t="str">
        <f t="shared" si="2"/>
        <v/>
      </c>
      <c r="AD53" s="117" t="str">
        <f>IFERROR(IF(AND(S52="Impacto",S53="Impacto"),(AD52-(+AD52*V53)),IF(AND(S52="Probabilidad",S53="Impacto"),(AD51-(+AD51*V53)),IF(S53="Probabilidad",AD52,""))),"")</f>
        <v/>
      </c>
      <c r="AE53" s="120" t="str">
        <f t="shared" si="58"/>
        <v/>
      </c>
      <c r="AF53" s="116"/>
      <c r="AG53" s="121"/>
      <c r="AH53" s="122"/>
      <c r="AI53" s="123"/>
      <c r="AJ53" s="123"/>
      <c r="AK53" s="121"/>
      <c r="AL53" s="122"/>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row>
    <row r="54" spans="1:70" x14ac:dyDescent="0.3">
      <c r="A54" s="211"/>
      <c r="B54" s="139"/>
      <c r="C54" s="139"/>
      <c r="D54" s="212"/>
      <c r="E54" s="204"/>
      <c r="F54" s="141"/>
      <c r="G54" s="212"/>
      <c r="H54" s="140"/>
      <c r="I54" s="213"/>
      <c r="J54" s="200"/>
      <c r="K54" s="201"/>
      <c r="L54" s="203"/>
      <c r="M54" s="201">
        <f>IF(NOT(ISERROR(MATCH(L54,_xlfn.ANCHORARRAY(E65),0))),K67&amp;"Por favor no seleccionar los criterios de impacto",L54)</f>
        <v>0</v>
      </c>
      <c r="N54" s="200"/>
      <c r="O54" s="201"/>
      <c r="P54" s="202"/>
      <c r="Q54" s="113">
        <v>4</v>
      </c>
      <c r="R54" s="114"/>
      <c r="S54" s="115" t="str">
        <f t="shared" ref="S54:S56" si="59">IF(OR(T54="Preventivo",T54="Detectivo"),"Probabilidad",IF(T54="Correctivo","Impacto",""))</f>
        <v/>
      </c>
      <c r="T54" s="116"/>
      <c r="U54" s="116"/>
      <c r="V54" s="117" t="str">
        <f t="shared" si="56"/>
        <v/>
      </c>
      <c r="W54" s="116"/>
      <c r="X54" s="116"/>
      <c r="Y54" s="116"/>
      <c r="Z54" s="118" t="str">
        <f t="shared" ref="Z54:Z56" si="60">IFERROR(IF(AND(S53="Probabilidad",S54="Probabilidad"),(AB53-(+AB53*V54)),IF(AND(S53="Impacto",S54="Probabilidad"),(AB52-(+AB52*V54)),IF(S54="Impacto",AB53,""))),"")</f>
        <v/>
      </c>
      <c r="AA54" s="119" t="str">
        <f t="shared" si="0"/>
        <v/>
      </c>
      <c r="AB54" s="117" t="str">
        <f t="shared" si="57"/>
        <v/>
      </c>
      <c r="AC54" s="119" t="str">
        <f t="shared" si="2"/>
        <v/>
      </c>
      <c r="AD54" s="117" t="str">
        <f t="shared" ref="AD54:AD56" si="61">IFERROR(IF(AND(S53="Impacto",S54="Impacto"),(AD53-(+AD53*V54)),IF(AND(S53="Probabilidad",S54="Impacto"),(AD52-(+AD52*V54)),IF(S54="Probabilidad",AD53,""))),"")</f>
        <v/>
      </c>
      <c r="AE54" s="120" t="str">
        <f>IFERROR(IF(OR(AND(AA54="Muy Baja",AC54="Leve"),AND(AA54="Muy Baja",AC54="Menor"),AND(AA54="Baja",AC54="Leve")),"Bajo",IF(OR(AND(AA54="Muy baja",AC54="Moderado"),AND(AA54="Baja",AC54="Menor"),AND(AA54="Baja",AC54="Moderado"),AND(AA54="Media",AC54="Leve"),AND(AA54="Media",AC54="Menor"),AND(AA54="Media",AC54="Moderado"),AND(AA54="Alta",AC54="Leve"),AND(AA54="Alta",AC54="Menor")),"Moderado",IF(OR(AND(AA54="Muy Baja",AC54="Mayor"),AND(AA54="Baja",AC54="Mayor"),AND(AA54="Media",AC54="Mayor"),AND(AA54="Alta",AC54="Moderado"),AND(AA54="Alta",AC54="Mayor"),AND(AA54="Muy Alta",AC54="Leve"),AND(AA54="Muy Alta",AC54="Menor"),AND(AA54="Muy Alta",AC54="Moderado"),AND(AA54="Muy Alta",AC54="Mayor")),"Alto",IF(OR(AND(AA54="Muy Baja",AC54="Catastrófico"),AND(AA54="Baja",AC54="Catastrófico"),AND(AA54="Media",AC54="Catastrófico"),AND(AA54="Alta",AC54="Catastrófico"),AND(AA54="Muy Alta",AC54="Catastrófico")),"Extremo","")))),"")</f>
        <v/>
      </c>
      <c r="AF54" s="116"/>
      <c r="AG54" s="121"/>
      <c r="AH54" s="122"/>
      <c r="AI54" s="123"/>
      <c r="AJ54" s="123"/>
      <c r="AK54" s="121"/>
      <c r="AL54" s="122"/>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row>
    <row r="55" spans="1:70" x14ac:dyDescent="0.3">
      <c r="A55" s="211"/>
      <c r="B55" s="139"/>
      <c r="C55" s="139"/>
      <c r="D55" s="212"/>
      <c r="E55" s="204"/>
      <c r="F55" s="141"/>
      <c r="G55" s="212"/>
      <c r="H55" s="140"/>
      <c r="I55" s="213"/>
      <c r="J55" s="200"/>
      <c r="K55" s="201"/>
      <c r="L55" s="203"/>
      <c r="M55" s="201">
        <f>IF(NOT(ISERROR(MATCH(L55,_xlfn.ANCHORARRAY(E66),0))),K68&amp;"Por favor no seleccionar los criterios de impacto",L55)</f>
        <v>0</v>
      </c>
      <c r="N55" s="200"/>
      <c r="O55" s="201"/>
      <c r="P55" s="202"/>
      <c r="Q55" s="113">
        <v>5</v>
      </c>
      <c r="R55" s="114"/>
      <c r="S55" s="115" t="str">
        <f t="shared" si="59"/>
        <v/>
      </c>
      <c r="T55" s="116"/>
      <c r="U55" s="116"/>
      <c r="V55" s="117" t="str">
        <f t="shared" si="56"/>
        <v/>
      </c>
      <c r="W55" s="116"/>
      <c r="X55" s="116"/>
      <c r="Y55" s="116"/>
      <c r="Z55" s="118" t="str">
        <f t="shared" si="60"/>
        <v/>
      </c>
      <c r="AA55" s="119" t="str">
        <f t="shared" si="0"/>
        <v/>
      </c>
      <c r="AB55" s="117" t="str">
        <f t="shared" si="57"/>
        <v/>
      </c>
      <c r="AC55" s="119" t="str">
        <f t="shared" si="2"/>
        <v/>
      </c>
      <c r="AD55" s="117" t="str">
        <f t="shared" si="61"/>
        <v/>
      </c>
      <c r="AE55" s="120" t="str">
        <f t="shared" ref="AE55:AE56" si="62">IFERROR(IF(OR(AND(AA55="Muy Baja",AC55="Leve"),AND(AA55="Muy Baja",AC55="Menor"),AND(AA55="Baja",AC55="Leve")),"Bajo",IF(OR(AND(AA55="Muy baja",AC55="Moderado"),AND(AA55="Baja",AC55="Menor"),AND(AA55="Baja",AC55="Moderado"),AND(AA55="Media",AC55="Leve"),AND(AA55="Media",AC55="Menor"),AND(AA55="Media",AC55="Moderado"),AND(AA55="Alta",AC55="Leve"),AND(AA55="Alta",AC55="Menor")),"Moderado",IF(OR(AND(AA55="Muy Baja",AC55="Mayor"),AND(AA55="Baja",AC55="Mayor"),AND(AA55="Media",AC55="Mayor"),AND(AA55="Alta",AC55="Moderado"),AND(AA55="Alta",AC55="Mayor"),AND(AA55="Muy Alta",AC55="Leve"),AND(AA55="Muy Alta",AC55="Menor"),AND(AA55="Muy Alta",AC55="Moderado"),AND(AA55="Muy Alta",AC55="Mayor")),"Alto",IF(OR(AND(AA55="Muy Baja",AC55="Catastrófico"),AND(AA55="Baja",AC55="Catastrófico"),AND(AA55="Media",AC55="Catastrófico"),AND(AA55="Alta",AC55="Catastrófico"),AND(AA55="Muy Alta",AC55="Catastrófico")),"Extremo","")))),"")</f>
        <v/>
      </c>
      <c r="AF55" s="116"/>
      <c r="AG55" s="121"/>
      <c r="AH55" s="122"/>
      <c r="AI55" s="123"/>
      <c r="AJ55" s="123"/>
      <c r="AK55" s="121"/>
      <c r="AL55" s="122"/>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row>
    <row r="56" spans="1:70" x14ac:dyDescent="0.3">
      <c r="A56" s="211"/>
      <c r="B56" s="139"/>
      <c r="C56" s="139"/>
      <c r="D56" s="212"/>
      <c r="E56" s="204"/>
      <c r="F56" s="141"/>
      <c r="G56" s="212"/>
      <c r="H56" s="140"/>
      <c r="I56" s="213"/>
      <c r="J56" s="200"/>
      <c r="K56" s="201"/>
      <c r="L56" s="203"/>
      <c r="M56" s="201">
        <f>IF(NOT(ISERROR(MATCH(L56,_xlfn.ANCHORARRAY(E67),0))),K70&amp;"Por favor no seleccionar los criterios de impacto",L56)</f>
        <v>0</v>
      </c>
      <c r="N56" s="200"/>
      <c r="O56" s="201"/>
      <c r="P56" s="202"/>
      <c r="Q56" s="113">
        <v>6</v>
      </c>
      <c r="R56" s="114"/>
      <c r="S56" s="115" t="str">
        <f t="shared" si="59"/>
        <v/>
      </c>
      <c r="T56" s="116"/>
      <c r="U56" s="116"/>
      <c r="V56" s="117" t="str">
        <f t="shared" si="56"/>
        <v/>
      </c>
      <c r="W56" s="116"/>
      <c r="X56" s="116"/>
      <c r="Y56" s="116"/>
      <c r="Z56" s="118" t="str">
        <f t="shared" si="60"/>
        <v/>
      </c>
      <c r="AA56" s="119" t="str">
        <f t="shared" si="0"/>
        <v/>
      </c>
      <c r="AB56" s="117" t="str">
        <f t="shared" si="57"/>
        <v/>
      </c>
      <c r="AC56" s="119" t="str">
        <f t="shared" si="2"/>
        <v/>
      </c>
      <c r="AD56" s="117" t="str">
        <f t="shared" si="61"/>
        <v/>
      </c>
      <c r="AE56" s="120" t="str">
        <f t="shared" si="62"/>
        <v/>
      </c>
      <c r="AF56" s="116"/>
      <c r="AG56" s="121"/>
      <c r="AH56" s="122"/>
      <c r="AI56" s="123"/>
      <c r="AJ56" s="123"/>
      <c r="AK56" s="121"/>
      <c r="AL56" s="122"/>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row>
    <row r="57" spans="1:70" x14ac:dyDescent="0.3">
      <c r="A57" s="211">
        <v>9</v>
      </c>
      <c r="B57" s="139"/>
      <c r="C57" s="139"/>
      <c r="D57" s="212"/>
      <c r="E57" s="204"/>
      <c r="F57" s="141"/>
      <c r="G57" s="212"/>
      <c r="H57" s="140"/>
      <c r="I57" s="213"/>
      <c r="J57" s="200" t="str">
        <f>IF(I57&lt;=0,"",IF(I57&lt;=2,"Muy Baja",IF(I57&lt;=24,"Baja",IF(I57&lt;=500,"Media",IF(I57&lt;=5000,"Alta","Muy Alta")))))</f>
        <v/>
      </c>
      <c r="K57" s="201" t="str">
        <f>IF(J57="","",IF(J57="Muy Baja",0.2,IF(J57="Baja",0.4,IF(J57="Media",0.6,IF(J57="Alta",0.8,IF(J57="Muy Alta",1,))))))</f>
        <v/>
      </c>
      <c r="L57" s="203"/>
      <c r="M57" s="201">
        <f>IF(NOT(ISERROR(MATCH(L57,'Tabla Impacto'!$B$221:$B$223,0))),'Tabla Impacto'!$F$223&amp;"Por favor no seleccionar los criterios de impacto(Afectación Económica o presupuestal y Pérdida Reputacional)",L57)</f>
        <v>0</v>
      </c>
      <c r="N57" s="200" t="str">
        <f>IF(OR(M57='Tabla Impacto'!$C$11,M57='Tabla Impacto'!$D$11),"Leve",IF(OR(M57='Tabla Impacto'!$C$12,M57='Tabla Impacto'!$D$12),"Menor",IF(OR(M57='Tabla Impacto'!$C$13,M57='Tabla Impacto'!$D$13),"Moderado",IF(OR(M57='Tabla Impacto'!$C$14,M57='Tabla Impacto'!$D$14),"Mayor",IF(OR(M57='Tabla Impacto'!$C$15,M57='Tabla Impacto'!$D$15),"Catastrófico","")))))</f>
        <v/>
      </c>
      <c r="O57" s="201" t="str">
        <f>IF(N57="","",IF(N57="Leve",0.2,IF(N57="Menor",0.4,IF(N57="Moderado",0.6,IF(N57="Mayor",0.8,IF(N57="Catastrófico",1,))))))</f>
        <v/>
      </c>
      <c r="P57" s="202" t="str">
        <f>IF(OR(AND(J57="Muy Baja",N57="Leve"),AND(J57="Muy Baja",N57="Menor"),AND(J57="Baja",N57="Leve")),"Bajo",IF(OR(AND(J57="Muy baja",N57="Moderado"),AND(J57="Baja",N57="Menor"),AND(J57="Baja",N57="Moderado"),AND(J57="Media",N57="Leve"),AND(J57="Media",N57="Menor"),AND(J57="Media",N57="Moderado"),AND(J57="Alta",N57="Leve"),AND(J57="Alta",N57="Menor")),"Moderado",IF(OR(AND(J57="Muy Baja",N57="Mayor"),AND(J57="Baja",N57="Mayor"),AND(J57="Media",N57="Mayor"),AND(J57="Alta",N57="Moderado"),AND(J57="Alta",N57="Mayor"),AND(J57="Muy Alta",N57="Leve"),AND(J57="Muy Alta",N57="Menor"),AND(J57="Muy Alta",N57="Moderado"),AND(J57="Muy Alta",N57="Mayor")),"Alto",IF(OR(AND(J57="Muy Baja",N57="Catastrófico"),AND(J57="Baja",N57="Catastrófico"),AND(J57="Media",N57="Catastrófico"),AND(J57="Alta",N57="Catastrófico"),AND(J57="Muy Alta",N57="Catastrófico")),"Extremo",""))))</f>
        <v/>
      </c>
      <c r="Q57" s="113">
        <v>1</v>
      </c>
      <c r="R57" s="114"/>
      <c r="S57" s="115" t="str">
        <f>IF(OR(T57="Preventivo",T57="Detectivo"),"Probabilidad",IF(T57="Correctivo","Impacto",""))</f>
        <v/>
      </c>
      <c r="T57" s="116"/>
      <c r="U57" s="116"/>
      <c r="V57" s="117" t="str">
        <f>IF(AND(T57="Preventivo",U57="Automático"),"50%",IF(AND(T57="Preventivo",U57="Manual"),"40%",IF(AND(T57="Detectivo",U57="Automático"),"40%",IF(AND(T57="Detectivo",U57="Manual"),"30%",IF(AND(T57="Correctivo",U57="Automático"),"35%",IF(AND(T57="Correctivo",U57="Manual"),"25%",""))))))</f>
        <v/>
      </c>
      <c r="W57" s="116"/>
      <c r="X57" s="116"/>
      <c r="Y57" s="116"/>
      <c r="Z57" s="118" t="str">
        <f>IFERROR(IF(S57="Probabilidad",(K57-(+K57*V57)),IF(S57="Impacto",K57,"")),"")</f>
        <v/>
      </c>
      <c r="AA57" s="119" t="str">
        <f>IFERROR(IF(Z57="","",IF(Z57&lt;=0.2,"Muy Baja",IF(Z57&lt;=0.4,"Baja",IF(Z57&lt;=0.6,"Media",IF(Z57&lt;=0.8,"Alta","Muy Alta"))))),"")</f>
        <v/>
      </c>
      <c r="AB57" s="117" t="str">
        <f>+Z57</f>
        <v/>
      </c>
      <c r="AC57" s="119" t="str">
        <f>IFERROR(IF(AD57="","",IF(AD57&lt;=0.2,"Leve",IF(AD57&lt;=0.4,"Menor",IF(AD57&lt;=0.6,"Moderado",IF(AD57&lt;=0.8,"Mayor","Catastrófico"))))),"")</f>
        <v/>
      </c>
      <c r="AD57" s="117" t="str">
        <f>IFERROR(IF(S57="Impacto",(O57-(+O57*V57)),IF(S57="Probabilidad",O57,"")),"")</f>
        <v/>
      </c>
      <c r="AE57" s="120" t="str">
        <f>IFERROR(IF(OR(AND(AA57="Muy Baja",AC57="Leve"),AND(AA57="Muy Baja",AC57="Menor"),AND(AA57="Baja",AC57="Leve")),"Bajo",IF(OR(AND(AA57="Muy baja",AC57="Moderado"),AND(AA57="Baja",AC57="Menor"),AND(AA57="Baja",AC57="Moderado"),AND(AA57="Media",AC57="Leve"),AND(AA57="Media",AC57="Menor"),AND(AA57="Media",AC57="Moderado"),AND(AA57="Alta",AC57="Leve"),AND(AA57="Alta",AC57="Menor")),"Moderado",IF(OR(AND(AA57="Muy Baja",AC57="Mayor"),AND(AA57="Baja",AC57="Mayor"),AND(AA57="Media",AC57="Mayor"),AND(AA57="Alta",AC57="Moderado"),AND(AA57="Alta",AC57="Mayor"),AND(AA57="Muy Alta",AC57="Leve"),AND(AA57="Muy Alta",AC57="Menor"),AND(AA57="Muy Alta",AC57="Moderado"),AND(AA57="Muy Alta",AC57="Mayor")),"Alto",IF(OR(AND(AA57="Muy Baja",AC57="Catastrófico"),AND(AA57="Baja",AC57="Catastrófico"),AND(AA57="Media",AC57="Catastrófico"),AND(AA57="Alta",AC57="Catastrófico"),AND(AA57="Muy Alta",AC57="Catastrófico")),"Extremo","")))),"")</f>
        <v/>
      </c>
      <c r="AF57" s="116"/>
      <c r="AG57" s="121"/>
      <c r="AH57" s="122"/>
      <c r="AI57" s="123"/>
      <c r="AJ57" s="123"/>
      <c r="AK57" s="121"/>
      <c r="AL57" s="122"/>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row>
    <row r="58" spans="1:70" x14ac:dyDescent="0.3">
      <c r="A58" s="211"/>
      <c r="B58" s="139"/>
      <c r="C58" s="139"/>
      <c r="D58" s="212"/>
      <c r="E58" s="204"/>
      <c r="F58" s="141"/>
      <c r="G58" s="212"/>
      <c r="H58" s="140"/>
      <c r="I58" s="213"/>
      <c r="J58" s="200"/>
      <c r="K58" s="201"/>
      <c r="L58" s="203"/>
      <c r="M58" s="201">
        <f>IF(NOT(ISERROR(MATCH(L58,_xlfn.ANCHORARRAY(E70),0))),K72&amp;"Por favor no seleccionar los criterios de impacto",L58)</f>
        <v>0</v>
      </c>
      <c r="N58" s="200"/>
      <c r="O58" s="201"/>
      <c r="P58" s="202"/>
      <c r="Q58" s="113">
        <v>2</v>
      </c>
      <c r="R58" s="114"/>
      <c r="S58" s="115" t="str">
        <f>IF(OR(T58="Preventivo",T58="Detectivo"),"Probabilidad",IF(T58="Correctivo","Impacto",""))</f>
        <v/>
      </c>
      <c r="T58" s="116"/>
      <c r="U58" s="116"/>
      <c r="V58" s="117" t="str">
        <f t="shared" ref="V58:V62" si="63">IF(AND(T58="Preventivo",U58="Automático"),"50%",IF(AND(T58="Preventivo",U58="Manual"),"40%",IF(AND(T58="Detectivo",U58="Automático"),"40%",IF(AND(T58="Detectivo",U58="Manual"),"30%",IF(AND(T58="Correctivo",U58="Automático"),"35%",IF(AND(T58="Correctivo",U58="Manual"),"25%",""))))))</f>
        <v/>
      </c>
      <c r="W58" s="116"/>
      <c r="X58" s="116"/>
      <c r="Y58" s="116"/>
      <c r="Z58" s="118" t="str">
        <f>IFERROR(IF(AND(S57="Probabilidad",S58="Probabilidad"),(AB57-(+AB57*V58)),IF(S58="Probabilidad",(K57-(+K57*V58)),IF(S58="Impacto",AB57,""))),"")</f>
        <v/>
      </c>
      <c r="AA58" s="119" t="str">
        <f t="shared" si="0"/>
        <v/>
      </c>
      <c r="AB58" s="117" t="str">
        <f t="shared" ref="AB58:AB62" si="64">+Z58</f>
        <v/>
      </c>
      <c r="AC58" s="119" t="str">
        <f t="shared" si="2"/>
        <v/>
      </c>
      <c r="AD58" s="117" t="str">
        <f>IFERROR(IF(AND(S57="Impacto",S58="Impacto"),(AD51-(+AD51*V58)),IF(S58="Impacto",($O$57-(+$O$57*V58)),IF(S58="Probabilidad",AD51,""))),"")</f>
        <v/>
      </c>
      <c r="AE58" s="120" t="str">
        <f t="shared" ref="AE58:AE59" si="65">IFERROR(IF(OR(AND(AA58="Muy Baja",AC58="Leve"),AND(AA58="Muy Baja",AC58="Menor"),AND(AA58="Baja",AC58="Leve")),"Bajo",IF(OR(AND(AA58="Muy baja",AC58="Moderado"),AND(AA58="Baja",AC58="Menor"),AND(AA58="Baja",AC58="Moderado"),AND(AA58="Media",AC58="Leve"),AND(AA58="Media",AC58="Menor"),AND(AA58="Media",AC58="Moderado"),AND(AA58="Alta",AC58="Leve"),AND(AA58="Alta",AC58="Menor")),"Moderado",IF(OR(AND(AA58="Muy Baja",AC58="Mayor"),AND(AA58="Baja",AC58="Mayor"),AND(AA58="Media",AC58="Mayor"),AND(AA58="Alta",AC58="Moderado"),AND(AA58="Alta",AC58="Mayor"),AND(AA58="Muy Alta",AC58="Leve"),AND(AA58="Muy Alta",AC58="Menor"),AND(AA58="Muy Alta",AC58="Moderado"),AND(AA58="Muy Alta",AC58="Mayor")),"Alto",IF(OR(AND(AA58="Muy Baja",AC58="Catastrófico"),AND(AA58="Baja",AC58="Catastrófico"),AND(AA58="Media",AC58="Catastrófico"),AND(AA58="Alta",AC58="Catastrófico"),AND(AA58="Muy Alta",AC58="Catastrófico")),"Extremo","")))),"")</f>
        <v/>
      </c>
      <c r="AF58" s="116"/>
      <c r="AG58" s="121"/>
      <c r="AH58" s="122"/>
      <c r="AI58" s="123"/>
      <c r="AJ58" s="123"/>
      <c r="AK58" s="121"/>
      <c r="AL58" s="122"/>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row>
    <row r="59" spans="1:70" x14ac:dyDescent="0.3">
      <c r="A59" s="211"/>
      <c r="B59" s="139"/>
      <c r="C59" s="139"/>
      <c r="D59" s="212"/>
      <c r="E59" s="204"/>
      <c r="F59" s="141"/>
      <c r="G59" s="212"/>
      <c r="H59" s="140"/>
      <c r="I59" s="213"/>
      <c r="J59" s="200"/>
      <c r="K59" s="201"/>
      <c r="L59" s="203"/>
      <c r="M59" s="201">
        <f>IF(NOT(ISERROR(MATCH(L59,_xlfn.ANCHORARRAY(E71),0))),K73&amp;"Por favor no seleccionar los criterios de impacto",L59)</f>
        <v>0</v>
      </c>
      <c r="N59" s="200"/>
      <c r="O59" s="201"/>
      <c r="P59" s="202"/>
      <c r="Q59" s="113">
        <v>3</v>
      </c>
      <c r="R59" s="126"/>
      <c r="S59" s="115" t="str">
        <f>IF(OR(T59="Preventivo",T59="Detectivo"),"Probabilidad",IF(T59="Correctivo","Impacto",""))</f>
        <v/>
      </c>
      <c r="T59" s="116"/>
      <c r="U59" s="116"/>
      <c r="V59" s="117" t="str">
        <f t="shared" si="63"/>
        <v/>
      </c>
      <c r="W59" s="116"/>
      <c r="X59" s="116"/>
      <c r="Y59" s="116"/>
      <c r="Z59" s="118" t="str">
        <f>IFERROR(IF(AND(S58="Probabilidad",S59="Probabilidad"),(AB58-(+AB58*V59)),IF(AND(S58="Impacto",S59="Probabilidad"),(AB57-(+AB57*V59)),IF(S59="Impacto",AB58,""))),"")</f>
        <v/>
      </c>
      <c r="AA59" s="119" t="str">
        <f t="shared" si="0"/>
        <v/>
      </c>
      <c r="AB59" s="117" t="str">
        <f t="shared" si="64"/>
        <v/>
      </c>
      <c r="AC59" s="119" t="str">
        <f t="shared" si="2"/>
        <v/>
      </c>
      <c r="AD59" s="117" t="str">
        <f>IFERROR(IF(AND(S58="Impacto",S59="Impacto"),(AD58-(+AD58*V59)),IF(AND(S58="Probabilidad",S59="Impacto"),(AD57-(+AD57*V59)),IF(S59="Probabilidad",AD58,""))),"")</f>
        <v/>
      </c>
      <c r="AE59" s="120" t="str">
        <f t="shared" si="65"/>
        <v/>
      </c>
      <c r="AF59" s="116"/>
      <c r="AG59" s="121"/>
      <c r="AH59" s="122"/>
      <c r="AI59" s="123"/>
      <c r="AJ59" s="123"/>
      <c r="AK59" s="121"/>
      <c r="AL59" s="122"/>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row>
    <row r="60" spans="1:70" x14ac:dyDescent="0.3">
      <c r="A60" s="211"/>
      <c r="B60" s="139"/>
      <c r="C60" s="139"/>
      <c r="D60" s="212"/>
      <c r="E60" s="204"/>
      <c r="F60" s="141"/>
      <c r="G60" s="212"/>
      <c r="H60" s="140"/>
      <c r="I60" s="213"/>
      <c r="J60" s="200"/>
      <c r="K60" s="201"/>
      <c r="L60" s="203"/>
      <c r="M60" s="201">
        <f>IF(NOT(ISERROR(MATCH(L60,_xlfn.ANCHORARRAY(E72),0))),K74&amp;"Por favor no seleccionar los criterios de impacto",L60)</f>
        <v>0</v>
      </c>
      <c r="N60" s="200"/>
      <c r="O60" s="201"/>
      <c r="P60" s="202"/>
      <c r="Q60" s="113">
        <v>4</v>
      </c>
      <c r="R60" s="114"/>
      <c r="S60" s="115" t="str">
        <f t="shared" ref="S60:S62" si="66">IF(OR(T60="Preventivo",T60="Detectivo"),"Probabilidad",IF(T60="Correctivo","Impacto",""))</f>
        <v/>
      </c>
      <c r="T60" s="116"/>
      <c r="U60" s="116"/>
      <c r="V60" s="117" t="str">
        <f t="shared" si="63"/>
        <v/>
      </c>
      <c r="W60" s="116"/>
      <c r="X60" s="116"/>
      <c r="Y60" s="116"/>
      <c r="Z60" s="118" t="str">
        <f t="shared" ref="Z60:Z62" si="67">IFERROR(IF(AND(S59="Probabilidad",S60="Probabilidad"),(AB59-(+AB59*V60)),IF(AND(S59="Impacto",S60="Probabilidad"),(AB58-(+AB58*V60)),IF(S60="Impacto",AB59,""))),"")</f>
        <v/>
      </c>
      <c r="AA60" s="119" t="str">
        <f t="shared" si="0"/>
        <v/>
      </c>
      <c r="AB60" s="117" t="str">
        <f t="shared" si="64"/>
        <v/>
      </c>
      <c r="AC60" s="119" t="str">
        <f t="shared" si="2"/>
        <v/>
      </c>
      <c r="AD60" s="117" t="str">
        <f t="shared" ref="AD60:AD62" si="68">IFERROR(IF(AND(S59="Impacto",S60="Impacto"),(AD59-(+AD59*V60)),IF(AND(S59="Probabilidad",S60="Impacto"),(AD58-(+AD58*V60)),IF(S60="Probabilidad",AD59,""))),"")</f>
        <v/>
      </c>
      <c r="AE60" s="120" t="str">
        <f>IFERROR(IF(OR(AND(AA60="Muy Baja",AC60="Leve"),AND(AA60="Muy Baja",AC60="Menor"),AND(AA60="Baja",AC60="Leve")),"Bajo",IF(OR(AND(AA60="Muy baja",AC60="Moderado"),AND(AA60="Baja",AC60="Menor"),AND(AA60="Baja",AC60="Moderado"),AND(AA60="Media",AC60="Leve"),AND(AA60="Media",AC60="Menor"),AND(AA60="Media",AC60="Moderado"),AND(AA60="Alta",AC60="Leve"),AND(AA60="Alta",AC60="Menor")),"Moderado",IF(OR(AND(AA60="Muy Baja",AC60="Mayor"),AND(AA60="Baja",AC60="Mayor"),AND(AA60="Media",AC60="Mayor"),AND(AA60="Alta",AC60="Moderado"),AND(AA60="Alta",AC60="Mayor"),AND(AA60="Muy Alta",AC60="Leve"),AND(AA60="Muy Alta",AC60="Menor"),AND(AA60="Muy Alta",AC60="Moderado"),AND(AA60="Muy Alta",AC60="Mayor")),"Alto",IF(OR(AND(AA60="Muy Baja",AC60="Catastrófico"),AND(AA60="Baja",AC60="Catastrófico"),AND(AA60="Media",AC60="Catastrófico"),AND(AA60="Alta",AC60="Catastrófico"),AND(AA60="Muy Alta",AC60="Catastrófico")),"Extremo","")))),"")</f>
        <v/>
      </c>
      <c r="AF60" s="116"/>
      <c r="AG60" s="121"/>
      <c r="AH60" s="122"/>
      <c r="AI60" s="123"/>
      <c r="AJ60" s="123"/>
      <c r="AK60" s="121"/>
      <c r="AL60" s="122"/>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row>
    <row r="61" spans="1:70" x14ac:dyDescent="0.3">
      <c r="A61" s="211"/>
      <c r="B61" s="139"/>
      <c r="C61" s="139"/>
      <c r="D61" s="212"/>
      <c r="E61" s="204"/>
      <c r="F61" s="141"/>
      <c r="G61" s="212"/>
      <c r="H61" s="140"/>
      <c r="I61" s="213"/>
      <c r="J61" s="200"/>
      <c r="K61" s="201"/>
      <c r="L61" s="203"/>
      <c r="M61" s="201">
        <f>IF(NOT(ISERROR(MATCH(L61,_xlfn.ANCHORARRAY(E73),0))),K75&amp;"Por favor no seleccionar los criterios de impacto",L61)</f>
        <v>0</v>
      </c>
      <c r="N61" s="200"/>
      <c r="O61" s="201"/>
      <c r="P61" s="202"/>
      <c r="Q61" s="113">
        <v>5</v>
      </c>
      <c r="R61" s="114"/>
      <c r="S61" s="115" t="str">
        <f t="shared" si="66"/>
        <v/>
      </c>
      <c r="T61" s="116"/>
      <c r="U61" s="116"/>
      <c r="V61" s="117" t="str">
        <f t="shared" si="63"/>
        <v/>
      </c>
      <c r="W61" s="116"/>
      <c r="X61" s="116"/>
      <c r="Y61" s="116"/>
      <c r="Z61" s="118" t="str">
        <f t="shared" si="67"/>
        <v/>
      </c>
      <c r="AA61" s="119" t="str">
        <f t="shared" si="0"/>
        <v/>
      </c>
      <c r="AB61" s="117" t="str">
        <f t="shared" si="64"/>
        <v/>
      </c>
      <c r="AC61" s="119" t="str">
        <f t="shared" si="2"/>
        <v/>
      </c>
      <c r="AD61" s="117" t="str">
        <f t="shared" si="68"/>
        <v/>
      </c>
      <c r="AE61" s="120" t="str">
        <f t="shared" ref="AE61:AE62" si="69">IFERROR(IF(OR(AND(AA61="Muy Baja",AC61="Leve"),AND(AA61="Muy Baja",AC61="Menor"),AND(AA61="Baja",AC61="Leve")),"Bajo",IF(OR(AND(AA61="Muy baja",AC61="Moderado"),AND(AA61="Baja",AC61="Menor"),AND(AA61="Baja",AC61="Moderado"),AND(AA61="Media",AC61="Leve"),AND(AA61="Media",AC61="Menor"),AND(AA61="Media",AC61="Moderado"),AND(AA61="Alta",AC61="Leve"),AND(AA61="Alta",AC61="Menor")),"Moderado",IF(OR(AND(AA61="Muy Baja",AC61="Mayor"),AND(AA61="Baja",AC61="Mayor"),AND(AA61="Media",AC61="Mayor"),AND(AA61="Alta",AC61="Moderado"),AND(AA61="Alta",AC61="Mayor"),AND(AA61="Muy Alta",AC61="Leve"),AND(AA61="Muy Alta",AC61="Menor"),AND(AA61="Muy Alta",AC61="Moderado"),AND(AA61="Muy Alta",AC61="Mayor")),"Alto",IF(OR(AND(AA61="Muy Baja",AC61="Catastrófico"),AND(AA61="Baja",AC61="Catastrófico"),AND(AA61="Media",AC61="Catastrófico"),AND(AA61="Alta",AC61="Catastrófico"),AND(AA61="Muy Alta",AC61="Catastrófico")),"Extremo","")))),"")</f>
        <v/>
      </c>
      <c r="AF61" s="116"/>
      <c r="AG61" s="121"/>
      <c r="AH61" s="122"/>
      <c r="AI61" s="123"/>
      <c r="AJ61" s="123"/>
      <c r="AK61" s="121"/>
      <c r="AL61" s="122"/>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row>
    <row r="62" spans="1:70" x14ac:dyDescent="0.3">
      <c r="A62" s="211"/>
      <c r="B62" s="139"/>
      <c r="C62" s="139"/>
      <c r="D62" s="212"/>
      <c r="E62" s="204"/>
      <c r="F62" s="141"/>
      <c r="G62" s="212"/>
      <c r="H62" s="140"/>
      <c r="I62" s="213"/>
      <c r="J62" s="200"/>
      <c r="K62" s="201"/>
      <c r="L62" s="203"/>
      <c r="M62" s="201">
        <f>IF(NOT(ISERROR(MATCH(L62,_xlfn.ANCHORARRAY(E74),0))),K76&amp;"Por favor no seleccionar los criterios de impacto",L62)</f>
        <v>0</v>
      </c>
      <c r="N62" s="200"/>
      <c r="O62" s="201"/>
      <c r="P62" s="202"/>
      <c r="Q62" s="113">
        <v>6</v>
      </c>
      <c r="R62" s="114"/>
      <c r="S62" s="115" t="str">
        <f t="shared" si="66"/>
        <v/>
      </c>
      <c r="T62" s="116"/>
      <c r="U62" s="116"/>
      <c r="V62" s="117" t="str">
        <f t="shared" si="63"/>
        <v/>
      </c>
      <c r="W62" s="116"/>
      <c r="X62" s="116"/>
      <c r="Y62" s="116"/>
      <c r="Z62" s="118" t="str">
        <f t="shared" si="67"/>
        <v/>
      </c>
      <c r="AA62" s="119" t="str">
        <f t="shared" si="0"/>
        <v/>
      </c>
      <c r="AB62" s="117" t="str">
        <f t="shared" si="64"/>
        <v/>
      </c>
      <c r="AC62" s="119" t="str">
        <f t="shared" si="2"/>
        <v/>
      </c>
      <c r="AD62" s="117" t="str">
        <f t="shared" si="68"/>
        <v/>
      </c>
      <c r="AE62" s="120" t="str">
        <f t="shared" si="69"/>
        <v/>
      </c>
      <c r="AF62" s="116"/>
      <c r="AG62" s="121"/>
      <c r="AH62" s="122"/>
      <c r="AI62" s="123"/>
      <c r="AJ62" s="123"/>
      <c r="AK62" s="121"/>
      <c r="AL62" s="122"/>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row>
    <row r="63" spans="1:70" x14ac:dyDescent="0.3">
      <c r="A63" s="211">
        <v>10</v>
      </c>
      <c r="B63" s="139"/>
      <c r="C63" s="139"/>
      <c r="D63" s="212"/>
      <c r="E63" s="204"/>
      <c r="F63" s="141"/>
      <c r="G63" s="212"/>
      <c r="H63" s="140"/>
      <c r="I63" s="213"/>
      <c r="J63" s="200" t="str">
        <f>IF(I63&lt;=0,"",IF(I63&lt;=2,"Muy Baja",IF(I63&lt;=24,"Baja",IF(I63&lt;=500,"Media",IF(I63&lt;=5000,"Alta","Muy Alta")))))</f>
        <v/>
      </c>
      <c r="K63" s="201" t="str">
        <f>IF(J63="","",IF(J63="Muy Baja",0.2,IF(J63="Baja",0.4,IF(J63="Media",0.6,IF(J63="Alta",0.8,IF(J63="Muy Alta",1,))))))</f>
        <v/>
      </c>
      <c r="L63" s="203"/>
      <c r="M63" s="201">
        <f>IF(NOT(ISERROR(MATCH(L63,'Tabla Impacto'!$B$221:$B$223,0))),'Tabla Impacto'!$F$223&amp;"Por favor no seleccionar los criterios de impacto(Afectación Económica o presupuestal y Pérdida Reputacional)",L63)</f>
        <v>0</v>
      </c>
      <c r="N63" s="200" t="str">
        <f>IF(OR(M63='Tabla Impacto'!$C$11,M63='Tabla Impacto'!$D$11),"Leve",IF(OR(M63='Tabla Impacto'!$C$12,M63='Tabla Impacto'!$D$12),"Menor",IF(OR(M63='Tabla Impacto'!$C$13,M63='Tabla Impacto'!$D$13),"Moderado",IF(OR(M63='Tabla Impacto'!$C$14,M63='Tabla Impacto'!$D$14),"Mayor",IF(OR(M63='Tabla Impacto'!$C$15,M63='Tabla Impacto'!$D$15),"Catastrófico","")))))</f>
        <v/>
      </c>
      <c r="O63" s="201" t="str">
        <f>IF(N63="","",IF(N63="Leve",0.2,IF(N63="Menor",0.4,IF(N63="Moderado",0.6,IF(N63="Mayor",0.8,IF(N63="Catastrófico",1,))))))</f>
        <v/>
      </c>
      <c r="P63" s="202" t="str">
        <f>IF(OR(AND(J63="Muy Baja",N63="Leve"),AND(J63="Muy Baja",N63="Menor"),AND(J63="Baja",N63="Leve")),"Bajo",IF(OR(AND(J63="Muy baja",N63="Moderado"),AND(J63="Baja",N63="Menor"),AND(J63="Baja",N63="Moderado"),AND(J63="Media",N63="Leve"),AND(J63="Media",N63="Menor"),AND(J63="Media",N63="Moderado"),AND(J63="Alta",N63="Leve"),AND(J63="Alta",N63="Menor")),"Moderado",IF(OR(AND(J63="Muy Baja",N63="Mayor"),AND(J63="Baja",N63="Mayor"),AND(J63="Media",N63="Mayor"),AND(J63="Alta",N63="Moderado"),AND(J63="Alta",N63="Mayor"),AND(J63="Muy Alta",N63="Leve"),AND(J63="Muy Alta",N63="Menor"),AND(J63="Muy Alta",N63="Moderado"),AND(J63="Muy Alta",N63="Mayor")),"Alto",IF(OR(AND(J63="Muy Baja",N63="Catastrófico"),AND(J63="Baja",N63="Catastrófico"),AND(J63="Media",N63="Catastrófico"),AND(J63="Alta",N63="Catastrófico"),AND(J63="Muy Alta",N63="Catastrófico")),"Extremo",""))))</f>
        <v/>
      </c>
      <c r="Q63" s="113">
        <v>1</v>
      </c>
      <c r="R63" s="114"/>
      <c r="S63" s="115" t="str">
        <f>IF(OR(T63="Preventivo",T63="Detectivo"),"Probabilidad",IF(T63="Correctivo","Impacto",""))</f>
        <v/>
      </c>
      <c r="T63" s="116"/>
      <c r="U63" s="116"/>
      <c r="V63" s="117" t="str">
        <f>IF(AND(T63="Preventivo",U63="Automático"),"50%",IF(AND(T63="Preventivo",U63="Manual"),"40%",IF(AND(T63="Detectivo",U63="Automático"),"40%",IF(AND(T63="Detectivo",U63="Manual"),"30%",IF(AND(T63="Correctivo",U63="Automático"),"35%",IF(AND(T63="Correctivo",U63="Manual"),"25%",""))))))</f>
        <v/>
      </c>
      <c r="W63" s="116"/>
      <c r="X63" s="116"/>
      <c r="Y63" s="116"/>
      <c r="Z63" s="118" t="str">
        <f>IFERROR(IF(S63="Probabilidad",(K63-(+K63*V63)),IF(S63="Impacto",K63,"")),"")</f>
        <v/>
      </c>
      <c r="AA63" s="119" t="str">
        <f>IFERROR(IF(Z63="","",IF(Z63&lt;=0.2,"Muy Baja",IF(Z63&lt;=0.4,"Baja",IF(Z63&lt;=0.6,"Media",IF(Z63&lt;=0.8,"Alta","Muy Alta"))))),"")</f>
        <v/>
      </c>
      <c r="AB63" s="117" t="str">
        <f>+Z63</f>
        <v/>
      </c>
      <c r="AC63" s="119" t="str">
        <f>IFERROR(IF(AD63="","",IF(AD63&lt;=0.2,"Leve",IF(AD63&lt;=0.4,"Menor",IF(AD63&lt;=0.6,"Moderado",IF(AD63&lt;=0.8,"Mayor","Catastrófico"))))),"")</f>
        <v/>
      </c>
      <c r="AD63" s="117" t="str">
        <f>IFERROR(IF(S63="Impacto",(O63-(+O63*V63)),IF(S63="Probabilidad",O63,"")),"")</f>
        <v/>
      </c>
      <c r="AE63" s="120" t="str">
        <f>IFERROR(IF(OR(AND(AA63="Muy Baja",AC63="Leve"),AND(AA63="Muy Baja",AC63="Menor"),AND(AA63="Baja",AC63="Leve")),"Bajo",IF(OR(AND(AA63="Muy baja",AC63="Moderado"),AND(AA63="Baja",AC63="Menor"),AND(AA63="Baja",AC63="Moderado"),AND(AA63="Media",AC63="Leve"),AND(AA63="Media",AC63="Menor"),AND(AA63="Media",AC63="Moderado"),AND(AA63="Alta",AC63="Leve"),AND(AA63="Alta",AC63="Menor")),"Moderado",IF(OR(AND(AA63="Muy Baja",AC63="Mayor"),AND(AA63="Baja",AC63="Mayor"),AND(AA63="Media",AC63="Mayor"),AND(AA63="Alta",AC63="Moderado"),AND(AA63="Alta",AC63="Mayor"),AND(AA63="Muy Alta",AC63="Leve"),AND(AA63="Muy Alta",AC63="Menor"),AND(AA63="Muy Alta",AC63="Moderado"),AND(AA63="Muy Alta",AC63="Mayor")),"Alto",IF(OR(AND(AA63="Muy Baja",AC63="Catastrófico"),AND(AA63="Baja",AC63="Catastrófico"),AND(AA63="Media",AC63="Catastrófico"),AND(AA63="Alta",AC63="Catastrófico"),AND(AA63="Muy Alta",AC63="Catastrófico")),"Extremo","")))),"")</f>
        <v/>
      </c>
      <c r="AF63" s="116"/>
      <c r="AG63" s="121"/>
      <c r="AH63" s="122"/>
      <c r="AI63" s="123"/>
      <c r="AJ63" s="123"/>
      <c r="AK63" s="121"/>
      <c r="AL63" s="122"/>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row>
    <row r="64" spans="1:70" x14ac:dyDescent="0.3">
      <c r="A64" s="211"/>
      <c r="B64" s="139"/>
      <c r="C64" s="139"/>
      <c r="D64" s="212"/>
      <c r="E64" s="204"/>
      <c r="F64" s="141"/>
      <c r="G64" s="212"/>
      <c r="H64" s="140"/>
      <c r="I64" s="213"/>
      <c r="J64" s="200"/>
      <c r="K64" s="201"/>
      <c r="L64" s="203"/>
      <c r="M64" s="201">
        <f>IF(NOT(ISERROR(MATCH(L64,_xlfn.ANCHORARRAY(E76),0))),K78&amp;"Por favor no seleccionar los criterios de impacto",L64)</f>
        <v>0</v>
      </c>
      <c r="N64" s="200"/>
      <c r="O64" s="201"/>
      <c r="P64" s="202"/>
      <c r="Q64" s="113">
        <v>2</v>
      </c>
      <c r="R64" s="114"/>
      <c r="S64" s="115" t="str">
        <f>IF(OR(T64="Preventivo",T64="Detectivo"),"Probabilidad",IF(T64="Correctivo","Impacto",""))</f>
        <v/>
      </c>
      <c r="T64" s="116"/>
      <c r="U64" s="116"/>
      <c r="V64" s="117" t="str">
        <f t="shared" ref="V64:V68" si="70">IF(AND(T64="Preventivo",U64="Automático"),"50%",IF(AND(T64="Preventivo",U64="Manual"),"40%",IF(AND(T64="Detectivo",U64="Automático"),"40%",IF(AND(T64="Detectivo",U64="Manual"),"30%",IF(AND(T64="Correctivo",U64="Automático"),"35%",IF(AND(T64="Correctivo",U64="Manual"),"25%",""))))))</f>
        <v/>
      </c>
      <c r="W64" s="116"/>
      <c r="X64" s="116"/>
      <c r="Y64" s="116"/>
      <c r="Z64" s="118" t="str">
        <f>IFERROR(IF(AND(S63="Probabilidad",S64="Probabilidad"),(AB63-(+AB63*V64)),IF(S64="Probabilidad",(K63-(+K63*V64)),IF(S64="Impacto",AB63,""))),"")</f>
        <v/>
      </c>
      <c r="AA64" s="119" t="str">
        <f t="shared" si="0"/>
        <v/>
      </c>
      <c r="AB64" s="117" t="str">
        <f t="shared" ref="AB64:AB68" si="71">+Z64</f>
        <v/>
      </c>
      <c r="AC64" s="119" t="str">
        <f t="shared" si="2"/>
        <v/>
      </c>
      <c r="AD64" s="117" t="str">
        <f>IFERROR(IF(AND(S63="Impacto",S64="Impacto"),(AD57-(+AD57*V64)),IF(S64="Impacto",($O$63-(+$O$63*V64)),IF(S64="Probabilidad",AD57,""))),"")</f>
        <v/>
      </c>
      <c r="AE64" s="120" t="str">
        <f t="shared" ref="AE64:AE65" si="72">IFERROR(IF(OR(AND(AA64="Muy Baja",AC64="Leve"),AND(AA64="Muy Baja",AC64="Menor"),AND(AA64="Baja",AC64="Leve")),"Bajo",IF(OR(AND(AA64="Muy baja",AC64="Moderado"),AND(AA64="Baja",AC64="Menor"),AND(AA64="Baja",AC64="Moderado"),AND(AA64="Media",AC64="Leve"),AND(AA64="Media",AC64="Menor"),AND(AA64="Media",AC64="Moderado"),AND(AA64="Alta",AC64="Leve"),AND(AA64="Alta",AC64="Menor")),"Moderado",IF(OR(AND(AA64="Muy Baja",AC64="Mayor"),AND(AA64="Baja",AC64="Mayor"),AND(AA64="Media",AC64="Mayor"),AND(AA64="Alta",AC64="Moderado"),AND(AA64="Alta",AC64="Mayor"),AND(AA64="Muy Alta",AC64="Leve"),AND(AA64="Muy Alta",AC64="Menor"),AND(AA64="Muy Alta",AC64="Moderado"),AND(AA64="Muy Alta",AC64="Mayor")),"Alto",IF(OR(AND(AA64="Muy Baja",AC64="Catastrófico"),AND(AA64="Baja",AC64="Catastrófico"),AND(AA64="Media",AC64="Catastrófico"),AND(AA64="Alta",AC64="Catastrófico"),AND(AA64="Muy Alta",AC64="Catastrófico")),"Extremo","")))),"")</f>
        <v/>
      </c>
      <c r="AF64" s="116"/>
      <c r="AG64" s="121"/>
      <c r="AH64" s="122"/>
      <c r="AI64" s="123"/>
      <c r="AJ64" s="123"/>
      <c r="AK64" s="121"/>
      <c r="AL64" s="122"/>
    </row>
    <row r="65" spans="1:38" x14ac:dyDescent="0.3">
      <c r="A65" s="211"/>
      <c r="B65" s="139"/>
      <c r="C65" s="139"/>
      <c r="D65" s="212"/>
      <c r="E65" s="204"/>
      <c r="F65" s="141"/>
      <c r="G65" s="212"/>
      <c r="H65" s="140"/>
      <c r="I65" s="213"/>
      <c r="J65" s="200"/>
      <c r="K65" s="201"/>
      <c r="L65" s="203"/>
      <c r="M65" s="201">
        <f>IF(NOT(ISERROR(MATCH(L65,_xlfn.ANCHORARRAY(E77),0))),K79&amp;"Por favor no seleccionar los criterios de impacto",L65)</f>
        <v>0</v>
      </c>
      <c r="N65" s="200"/>
      <c r="O65" s="201"/>
      <c r="P65" s="202"/>
      <c r="Q65" s="113">
        <v>3</v>
      </c>
      <c r="R65" s="126"/>
      <c r="S65" s="115" t="str">
        <f>IF(OR(T65="Preventivo",T65="Detectivo"),"Probabilidad",IF(T65="Correctivo","Impacto",""))</f>
        <v/>
      </c>
      <c r="T65" s="116"/>
      <c r="U65" s="116"/>
      <c r="V65" s="117" t="str">
        <f t="shared" si="70"/>
        <v/>
      </c>
      <c r="W65" s="116"/>
      <c r="X65" s="116"/>
      <c r="Y65" s="116"/>
      <c r="Z65" s="118" t="str">
        <f>IFERROR(IF(AND(S64="Probabilidad",S65="Probabilidad"),(AB64-(+AB64*V65)),IF(AND(S64="Impacto",S65="Probabilidad"),(AB63-(+AB63*V65)),IF(S65="Impacto",AB64,""))),"")</f>
        <v/>
      </c>
      <c r="AA65" s="119" t="str">
        <f t="shared" si="0"/>
        <v/>
      </c>
      <c r="AB65" s="117" t="str">
        <f t="shared" si="71"/>
        <v/>
      </c>
      <c r="AC65" s="119" t="str">
        <f t="shared" si="2"/>
        <v/>
      </c>
      <c r="AD65" s="117" t="str">
        <f>IFERROR(IF(AND(S64="Impacto",S65="Impacto"),(AD64-(+AD64*V65)),IF(AND(S64="Probabilidad",S65="Impacto"),(AD63-(+AD63*V65)),IF(S65="Probabilidad",AD64,""))),"")</f>
        <v/>
      </c>
      <c r="AE65" s="120" t="str">
        <f t="shared" si="72"/>
        <v/>
      </c>
      <c r="AF65" s="116"/>
      <c r="AG65" s="121"/>
      <c r="AH65" s="122"/>
      <c r="AI65" s="123"/>
      <c r="AJ65" s="123"/>
      <c r="AK65" s="121"/>
      <c r="AL65" s="122"/>
    </row>
    <row r="66" spans="1:38" x14ac:dyDescent="0.3">
      <c r="A66" s="211"/>
      <c r="B66" s="139"/>
      <c r="C66" s="139"/>
      <c r="D66" s="212"/>
      <c r="E66" s="204"/>
      <c r="F66" s="141"/>
      <c r="G66" s="212"/>
      <c r="H66" s="140"/>
      <c r="I66" s="213"/>
      <c r="J66" s="200"/>
      <c r="K66" s="201"/>
      <c r="L66" s="203"/>
      <c r="M66" s="201">
        <f>IF(NOT(ISERROR(MATCH(L66,_xlfn.ANCHORARRAY(E78),0))),K80&amp;"Por favor no seleccionar los criterios de impacto",L66)</f>
        <v>0</v>
      </c>
      <c r="N66" s="200"/>
      <c r="O66" s="201"/>
      <c r="P66" s="202"/>
      <c r="Q66" s="113">
        <v>4</v>
      </c>
      <c r="R66" s="114"/>
      <c r="S66" s="115" t="str">
        <f t="shared" ref="S66:S68" si="73">IF(OR(T66="Preventivo",T66="Detectivo"),"Probabilidad",IF(T66="Correctivo","Impacto",""))</f>
        <v/>
      </c>
      <c r="T66" s="116"/>
      <c r="U66" s="116"/>
      <c r="V66" s="117" t="str">
        <f t="shared" si="70"/>
        <v/>
      </c>
      <c r="W66" s="116"/>
      <c r="X66" s="116"/>
      <c r="Y66" s="116"/>
      <c r="Z66" s="118" t="str">
        <f t="shared" ref="Z66:Z68" si="74">IFERROR(IF(AND(S65="Probabilidad",S66="Probabilidad"),(AB65-(+AB65*V66)),IF(AND(S65="Impacto",S66="Probabilidad"),(AB64-(+AB64*V66)),IF(S66="Impacto",AB65,""))),"")</f>
        <v/>
      </c>
      <c r="AA66" s="119" t="str">
        <f t="shared" si="0"/>
        <v/>
      </c>
      <c r="AB66" s="117" t="str">
        <f t="shared" si="71"/>
        <v/>
      </c>
      <c r="AC66" s="119" t="str">
        <f t="shared" si="2"/>
        <v/>
      </c>
      <c r="AD66" s="117" t="str">
        <f t="shared" ref="AD66:AD68" si="75">IFERROR(IF(AND(S65="Impacto",S66="Impacto"),(AD65-(+AD65*V66)),IF(AND(S65="Probabilidad",S66="Impacto"),(AD64-(+AD64*V66)),IF(S66="Probabilidad",AD65,""))),"")</f>
        <v/>
      </c>
      <c r="AE66" s="120" t="str">
        <f>IFERROR(IF(OR(AND(AA66="Muy Baja",AC66="Leve"),AND(AA66="Muy Baja",AC66="Menor"),AND(AA66="Baja",AC66="Leve")),"Bajo",IF(OR(AND(AA66="Muy baja",AC66="Moderado"),AND(AA66="Baja",AC66="Menor"),AND(AA66="Baja",AC66="Moderado"),AND(AA66="Media",AC66="Leve"),AND(AA66="Media",AC66="Menor"),AND(AA66="Media",AC66="Moderado"),AND(AA66="Alta",AC66="Leve"),AND(AA66="Alta",AC66="Menor")),"Moderado",IF(OR(AND(AA66="Muy Baja",AC66="Mayor"),AND(AA66="Baja",AC66="Mayor"),AND(AA66="Media",AC66="Mayor"),AND(AA66="Alta",AC66="Moderado"),AND(AA66="Alta",AC66="Mayor"),AND(AA66="Muy Alta",AC66="Leve"),AND(AA66="Muy Alta",AC66="Menor"),AND(AA66="Muy Alta",AC66="Moderado"),AND(AA66="Muy Alta",AC66="Mayor")),"Alto",IF(OR(AND(AA66="Muy Baja",AC66="Catastrófico"),AND(AA66="Baja",AC66="Catastrófico"),AND(AA66="Media",AC66="Catastrófico"),AND(AA66="Alta",AC66="Catastrófico"),AND(AA66="Muy Alta",AC66="Catastrófico")),"Extremo","")))),"")</f>
        <v/>
      </c>
      <c r="AF66" s="116"/>
      <c r="AG66" s="121"/>
      <c r="AH66" s="122"/>
      <c r="AI66" s="123"/>
      <c r="AJ66" s="123"/>
      <c r="AK66" s="121"/>
      <c r="AL66" s="122"/>
    </row>
    <row r="67" spans="1:38" x14ac:dyDescent="0.3">
      <c r="A67" s="211"/>
      <c r="B67" s="139"/>
      <c r="C67" s="139"/>
      <c r="D67" s="212"/>
      <c r="E67" s="204"/>
      <c r="F67" s="141"/>
      <c r="G67" s="212"/>
      <c r="H67" s="140"/>
      <c r="I67" s="213"/>
      <c r="J67" s="200"/>
      <c r="K67" s="201"/>
      <c r="L67" s="203"/>
      <c r="M67" s="201">
        <f>IF(NOT(ISERROR(MATCH(L67,_xlfn.ANCHORARRAY(E79),0))),K81&amp;"Por favor no seleccionar los criterios de impacto",L67)</f>
        <v>0</v>
      </c>
      <c r="N67" s="200"/>
      <c r="O67" s="201"/>
      <c r="P67" s="202"/>
      <c r="Q67" s="113">
        <v>5</v>
      </c>
      <c r="R67" s="114"/>
      <c r="S67" s="115" t="str">
        <f t="shared" si="73"/>
        <v/>
      </c>
      <c r="T67" s="116"/>
      <c r="U67" s="116"/>
      <c r="V67" s="117" t="str">
        <f t="shared" si="70"/>
        <v/>
      </c>
      <c r="W67" s="116"/>
      <c r="X67" s="116"/>
      <c r="Y67" s="116"/>
      <c r="Z67" s="118" t="str">
        <f t="shared" si="74"/>
        <v/>
      </c>
      <c r="AA67" s="119" t="str">
        <f t="shared" si="0"/>
        <v/>
      </c>
      <c r="AB67" s="117" t="str">
        <f t="shared" si="71"/>
        <v/>
      </c>
      <c r="AC67" s="119" t="str">
        <f t="shared" si="2"/>
        <v/>
      </c>
      <c r="AD67" s="117" t="str">
        <f t="shared" si="75"/>
        <v/>
      </c>
      <c r="AE67" s="120" t="str">
        <f t="shared" ref="AE67:AE68" si="76">IFERROR(IF(OR(AND(AA67="Muy Baja",AC67="Leve"),AND(AA67="Muy Baja",AC67="Menor"),AND(AA67="Baja",AC67="Leve")),"Bajo",IF(OR(AND(AA67="Muy baja",AC67="Moderado"),AND(AA67="Baja",AC67="Menor"),AND(AA67="Baja",AC67="Moderado"),AND(AA67="Media",AC67="Leve"),AND(AA67="Media",AC67="Menor"),AND(AA67="Media",AC67="Moderado"),AND(AA67="Alta",AC67="Leve"),AND(AA67="Alta",AC67="Menor")),"Moderado",IF(OR(AND(AA67="Muy Baja",AC67="Mayor"),AND(AA67="Baja",AC67="Mayor"),AND(AA67="Media",AC67="Mayor"),AND(AA67="Alta",AC67="Moderado"),AND(AA67="Alta",AC67="Mayor"),AND(AA67="Muy Alta",AC67="Leve"),AND(AA67="Muy Alta",AC67="Menor"),AND(AA67="Muy Alta",AC67="Moderado"),AND(AA67="Muy Alta",AC67="Mayor")),"Alto",IF(OR(AND(AA67="Muy Baja",AC67="Catastrófico"),AND(AA67="Baja",AC67="Catastrófico"),AND(AA67="Media",AC67="Catastrófico"),AND(AA67="Alta",AC67="Catastrófico"),AND(AA67="Muy Alta",AC67="Catastrófico")),"Extremo","")))),"")</f>
        <v/>
      </c>
      <c r="AF67" s="116"/>
      <c r="AG67" s="121"/>
      <c r="AH67" s="122"/>
      <c r="AI67" s="123"/>
      <c r="AJ67" s="123"/>
      <c r="AK67" s="121"/>
      <c r="AL67" s="122"/>
    </row>
    <row r="68" spans="1:38" x14ac:dyDescent="0.3">
      <c r="A68" s="211"/>
      <c r="B68" s="139"/>
      <c r="C68" s="139"/>
      <c r="D68" s="212"/>
      <c r="E68" s="204"/>
      <c r="F68" s="141"/>
      <c r="G68" s="212"/>
      <c r="H68" s="140"/>
      <c r="I68" s="213"/>
      <c r="J68" s="200"/>
      <c r="K68" s="201"/>
      <c r="L68" s="203"/>
      <c r="M68" s="201">
        <f>IF(NOT(ISERROR(MATCH(L68,_xlfn.ANCHORARRAY(E80),0))),K82&amp;"Por favor no seleccionar los criterios de impacto",L68)</f>
        <v>0</v>
      </c>
      <c r="N68" s="200"/>
      <c r="O68" s="201"/>
      <c r="P68" s="202"/>
      <c r="Q68" s="113">
        <v>6</v>
      </c>
      <c r="R68" s="114"/>
      <c r="S68" s="115" t="str">
        <f t="shared" si="73"/>
        <v/>
      </c>
      <c r="T68" s="116"/>
      <c r="U68" s="116"/>
      <c r="V68" s="117" t="str">
        <f t="shared" si="70"/>
        <v/>
      </c>
      <c r="W68" s="116"/>
      <c r="X68" s="116"/>
      <c r="Y68" s="116"/>
      <c r="Z68" s="118" t="str">
        <f t="shared" si="74"/>
        <v/>
      </c>
      <c r="AA68" s="119" t="str">
        <f t="shared" si="0"/>
        <v/>
      </c>
      <c r="AB68" s="117" t="str">
        <f t="shared" si="71"/>
        <v/>
      </c>
      <c r="AC68" s="119" t="str">
        <f t="shared" si="2"/>
        <v/>
      </c>
      <c r="AD68" s="117" t="str">
        <f t="shared" si="75"/>
        <v/>
      </c>
      <c r="AE68" s="120" t="str">
        <f t="shared" si="76"/>
        <v/>
      </c>
      <c r="AF68" s="116"/>
      <c r="AG68" s="121"/>
      <c r="AH68" s="122"/>
      <c r="AI68" s="123"/>
      <c r="AJ68" s="123"/>
      <c r="AK68" s="121"/>
      <c r="AL68" s="122"/>
    </row>
    <row r="69" spans="1:38" x14ac:dyDescent="0.3">
      <c r="A69" s="211">
        <v>1</v>
      </c>
      <c r="B69" s="139"/>
      <c r="C69" s="139"/>
      <c r="D69" s="212"/>
      <c r="E69" s="204"/>
      <c r="F69" s="141"/>
      <c r="G69" s="212"/>
      <c r="H69" s="140"/>
      <c r="I69" s="213"/>
      <c r="J69" s="200" t="str">
        <f>IF(I69&lt;=0,"",IF(I69&lt;=2,"Muy Baja",IF(I69&lt;=24,"Baja",IF(I69&lt;=500,"Media",IF(I69&lt;=5000,"Alta","Muy Alta")))))</f>
        <v/>
      </c>
      <c r="K69" s="201" t="str">
        <f>IF(J69="","",IF(J69="Muy Baja",0.2,IF(J69="Baja",0.4,IF(J69="Media",0.6,IF(J69="Alta",0.8,IF(J69="Muy Alta",1,))))))</f>
        <v/>
      </c>
      <c r="L69" s="203"/>
      <c r="M69" s="201">
        <f>IF(NOT(ISERROR(MATCH(L69,'Tabla Impacto'!$B$221:$B$223,0))),'Tabla Impacto'!$F$223&amp;"Por favor no seleccionar los criterios de impacto(Afectación Económica o presupuestal y Pérdida Reputacional)",L69)</f>
        <v>0</v>
      </c>
      <c r="N69" s="200" t="str">
        <f>IF(OR(M69='Tabla Impacto'!$C$11,M69='Tabla Impacto'!$D$11),"Leve",IF(OR(M69='Tabla Impacto'!$C$12,M69='Tabla Impacto'!$D$12),"Menor",IF(OR(M69='Tabla Impacto'!$C$13,M69='Tabla Impacto'!$D$13),"Moderado",IF(OR(M69='Tabla Impacto'!$C$14,M69='Tabla Impacto'!$D$14),"Mayor",IF(OR(M69='Tabla Impacto'!$C$15,M69='Tabla Impacto'!$D$15),"Catastrófico","")))))</f>
        <v/>
      </c>
      <c r="O69" s="201" t="str">
        <f>IF(N69="","",IF(N69="Leve",0.2,IF(N69="Menor",0.4,IF(N69="Moderado",0.6,IF(N69="Mayor",0.8,IF(N69="Catastrófico",1,))))))</f>
        <v/>
      </c>
      <c r="P69" s="202" t="str">
        <f>IF(OR(AND(J69="Muy Baja",N69="Leve"),AND(J69="Muy Baja",N69="Menor"),AND(J69="Baja",N69="Leve")),"Bajo",IF(OR(AND(J69="Muy baja",N69="Moderado"),AND(J69="Baja",N69="Menor"),AND(J69="Baja",N69="Moderado"),AND(J69="Media",N69="Leve"),AND(J69="Media",N69="Menor"),AND(J69="Media",N69="Moderado"),AND(J69="Alta",N69="Leve"),AND(J69="Alta",N69="Menor")),"Moderado",IF(OR(AND(J69="Muy Baja",N69="Mayor"),AND(J69="Baja",N69="Mayor"),AND(J69="Media",N69="Mayor"),AND(J69="Alta",N69="Moderado"),AND(J69="Alta",N69="Mayor"),AND(J69="Muy Alta",N69="Leve"),AND(J69="Muy Alta",N69="Menor"),AND(J69="Muy Alta",N69="Moderado"),AND(J69="Muy Alta",N69="Mayor")),"Alto",IF(OR(AND(J69="Muy Baja",N69="Catastrófico"),AND(J69="Baja",N69="Catastrófico"),AND(J69="Media",N69="Catastrófico"),AND(J69="Alta",N69="Catastrófico"),AND(J69="Muy Alta",N69="Catastrófico")),"Extremo",""))))</f>
        <v/>
      </c>
      <c r="Q69" s="113">
        <v>1</v>
      </c>
      <c r="R69" s="114"/>
      <c r="S69" s="115" t="str">
        <f>IF(OR(T69="Preventivo",T69="Detectivo"),"Probabilidad",IF(T69="Correctivo","Impacto",""))</f>
        <v/>
      </c>
      <c r="T69" s="116"/>
      <c r="U69" s="116"/>
      <c r="V69" s="117" t="str">
        <f>IF(AND(T69="Preventivo",U69="Automático"),"50%",IF(AND(T69="Preventivo",U69="Manual"),"40%",IF(AND(T69="Detectivo",U69="Automático"),"40%",IF(AND(T69="Detectivo",U69="Manual"),"30%",IF(AND(T69="Correctivo",U69="Automático"),"35%",IF(AND(T69="Correctivo",U69="Manual"),"25%",""))))))</f>
        <v/>
      </c>
      <c r="W69" s="116"/>
      <c r="X69" s="116"/>
      <c r="Y69" s="116"/>
      <c r="Z69" s="118" t="str">
        <f>IFERROR(IF(S69="Probabilidad",(K69-(+K69*V69)),IF(S69="Impacto",K69,"")),"")</f>
        <v/>
      </c>
      <c r="AA69" s="119" t="str">
        <f>IFERROR(IF(Z69="","",IF(Z69&lt;=0.2,"Muy Baja",IF(Z69&lt;=0.4,"Baja",IF(Z69&lt;=0.6,"Media",IF(Z69&lt;=0.8,"Alta","Muy Alta"))))),"")</f>
        <v/>
      </c>
      <c r="AB69" s="117" t="str">
        <f>+Z69</f>
        <v/>
      </c>
      <c r="AC69" s="119" t="str">
        <f>IFERROR(IF(AD69="","",IF(AD69&lt;=0.2,"Leve",IF(AD69&lt;=0.4,"Menor",IF(AD69&lt;=0.6,"Moderado",IF(AD69&lt;=0.8,"Mayor","Catastrófico"))))),"")</f>
        <v/>
      </c>
      <c r="AD69" s="117" t="str">
        <f>IFERROR(IF(S69="Impacto",(O69-(+O69*V69)),IF(S69="Probabilidad",O69,"")),"")</f>
        <v/>
      </c>
      <c r="AE69" s="120" t="str">
        <f>IFERROR(IF(OR(AND(AA69="Muy Baja",AC69="Leve"),AND(AA69="Muy Baja",AC69="Menor"),AND(AA69="Baja",AC69="Leve")),"Bajo",IF(OR(AND(AA69="Muy baja",AC69="Moderado"),AND(AA69="Baja",AC69="Menor"),AND(AA69="Baja",AC69="Moderado"),AND(AA69="Media",AC69="Leve"),AND(AA69="Media",AC69="Menor"),AND(AA69="Media",AC69="Moderado"),AND(AA69="Alta",AC69="Leve"),AND(AA69="Alta",AC69="Menor")),"Moderado",IF(OR(AND(AA69="Muy Baja",AC69="Mayor"),AND(AA69="Baja",AC69="Mayor"),AND(AA69="Media",AC69="Mayor"),AND(AA69="Alta",AC69="Moderado"),AND(AA69="Alta",AC69="Mayor"),AND(AA69="Muy Alta",AC69="Leve"),AND(AA69="Muy Alta",AC69="Menor"),AND(AA69="Muy Alta",AC69="Moderado"),AND(AA69="Muy Alta",AC69="Mayor")),"Alto",IF(OR(AND(AA69="Muy Baja",AC69="Catastrófico"),AND(AA69="Baja",AC69="Catastrófico"),AND(AA69="Media",AC69="Catastrófico"),AND(AA69="Alta",AC69="Catastrófico"),AND(AA69="Muy Alta",AC69="Catastrófico")),"Extremo","")))),"")</f>
        <v/>
      </c>
      <c r="AF69" s="116"/>
      <c r="AG69" s="121"/>
      <c r="AH69" s="122"/>
      <c r="AI69" s="123"/>
      <c r="AJ69" s="123"/>
      <c r="AK69" s="121"/>
      <c r="AL69" s="122"/>
    </row>
    <row r="70" spans="1:38" ht="49.5" customHeight="1" x14ac:dyDescent="0.3">
      <c r="A70" s="211"/>
      <c r="B70" s="139"/>
      <c r="C70" s="139"/>
      <c r="D70" s="212"/>
      <c r="E70" s="204"/>
      <c r="F70" s="141"/>
      <c r="G70" s="212"/>
      <c r="H70" s="140"/>
      <c r="I70" s="213"/>
      <c r="J70" s="200"/>
      <c r="K70" s="201"/>
      <c r="L70" s="203"/>
      <c r="M70" s="201">
        <f>IF(NOT(ISERROR(MATCH(L70,_xlfn.ANCHORARRAY(E81),0))),K83&amp;"Por favor no seleccionar los criterios de impacto",L70)</f>
        <v>0</v>
      </c>
      <c r="N70" s="200"/>
      <c r="O70" s="201"/>
      <c r="P70" s="202"/>
      <c r="Q70" s="113">
        <v>2</v>
      </c>
      <c r="R70" s="114"/>
      <c r="S70" s="115" t="str">
        <f>IF(OR(T70="Preventivo",T70="Detectivo"),"Probabilidad",IF(T70="Correctivo","Impacto",""))</f>
        <v/>
      </c>
      <c r="T70" s="116"/>
      <c r="U70" s="116"/>
      <c r="V70" s="117" t="str">
        <f t="shared" ref="V70:V74" si="77">IF(AND(T70="Preventivo",U70="Automático"),"50%",IF(AND(T70="Preventivo",U70="Manual"),"40%",IF(AND(T70="Detectivo",U70="Automático"),"40%",IF(AND(T70="Detectivo",U70="Manual"),"30%",IF(AND(T70="Correctivo",U70="Automático"),"35%",IF(AND(T70="Correctivo",U70="Manual"),"25%",""))))))</f>
        <v/>
      </c>
      <c r="W70" s="116"/>
      <c r="X70" s="116"/>
      <c r="Y70" s="116"/>
      <c r="Z70" s="118" t="str">
        <f>IFERROR(IF(AND(S69="Probabilidad",S70="Probabilidad"),(AB69-(+AB69*V70)),IF(S70="Probabilidad",(K69-(+K69*V70)),IF(S70="Impacto",AB69,""))),"")</f>
        <v/>
      </c>
      <c r="AA70" s="119" t="str">
        <f t="shared" ref="AA70:AA74" si="78">IFERROR(IF(Z70="","",IF(Z70&lt;=0.2,"Muy Baja",IF(Z70&lt;=0.4,"Baja",IF(Z70&lt;=0.6,"Media",IF(Z70&lt;=0.8,"Alta","Muy Alta"))))),"")</f>
        <v/>
      </c>
      <c r="AB70" s="117" t="str">
        <f t="shared" ref="AB70:AB74" si="79">+Z70</f>
        <v/>
      </c>
      <c r="AC70" s="119" t="str">
        <f t="shared" ref="AC70:AC74" si="80">IFERROR(IF(AD70="","",IF(AD70&lt;=0.2,"Leve",IF(AD70&lt;=0.4,"Menor",IF(AD70&lt;=0.6,"Moderado",IF(AD70&lt;=0.8,"Mayor","Catastrófico"))))),"")</f>
        <v/>
      </c>
      <c r="AD70" s="117" t="str">
        <f>IFERROR(IF(AND(S69="Impacto",S70="Impacto"),(AD69-(+AD69*V70)),IF(S70="Impacto",($O$9-(+$O$9*V70)),IF(S70="Probabilidad",AD69,""))),"")</f>
        <v/>
      </c>
      <c r="AE70" s="120" t="str">
        <f t="shared" ref="AE70:AE71" si="81">IFERROR(IF(OR(AND(AA70="Muy Baja",AC70="Leve"),AND(AA70="Muy Baja",AC70="Menor"),AND(AA70="Baja",AC70="Leve")),"Bajo",IF(OR(AND(AA70="Muy baja",AC70="Moderado"),AND(AA70="Baja",AC70="Menor"),AND(AA70="Baja",AC70="Moderado"),AND(AA70="Media",AC70="Leve"),AND(AA70="Media",AC70="Menor"),AND(AA70="Media",AC70="Moderado"),AND(AA70="Alta",AC70="Leve"),AND(AA70="Alta",AC70="Menor")),"Moderado",IF(OR(AND(AA70="Muy Baja",AC70="Mayor"),AND(AA70="Baja",AC70="Mayor"),AND(AA70="Media",AC70="Mayor"),AND(AA70="Alta",AC70="Moderado"),AND(AA70="Alta",AC70="Mayor"),AND(AA70="Muy Alta",AC70="Leve"),AND(AA70="Muy Alta",AC70="Menor"),AND(AA70="Muy Alta",AC70="Moderado"),AND(AA70="Muy Alta",AC70="Mayor")),"Alto",IF(OR(AND(AA70="Muy Baja",AC70="Catastrófico"),AND(AA70="Baja",AC70="Catastrófico"),AND(AA70="Media",AC70="Catastrófico"),AND(AA70="Alta",AC70="Catastrófico"),AND(AA70="Muy Alta",AC70="Catastrófico")),"Extremo","")))),"")</f>
        <v/>
      </c>
      <c r="AF70" s="116"/>
      <c r="AG70" s="121"/>
      <c r="AH70" s="122"/>
      <c r="AI70" s="123"/>
      <c r="AJ70" s="123"/>
      <c r="AK70" s="121"/>
      <c r="AL70" s="122"/>
    </row>
    <row r="71" spans="1:38" x14ac:dyDescent="0.3">
      <c r="A71" s="211"/>
      <c r="B71" s="139"/>
      <c r="C71" s="139"/>
      <c r="D71" s="212"/>
      <c r="E71" s="204"/>
      <c r="F71" s="141"/>
      <c r="G71" s="212"/>
      <c r="H71" s="140"/>
      <c r="I71" s="213"/>
      <c r="J71" s="200"/>
      <c r="K71" s="201"/>
      <c r="L71" s="203"/>
      <c r="M71" s="201">
        <f>IF(NOT(ISERROR(MATCH(L71,_xlfn.ANCHORARRAY(E82),0))),K84&amp;"Por favor no seleccionar los criterios de impacto",L71)</f>
        <v>0</v>
      </c>
      <c r="N71" s="200"/>
      <c r="O71" s="201"/>
      <c r="P71" s="202"/>
      <c r="Q71" s="113">
        <v>3</v>
      </c>
      <c r="R71" s="126"/>
      <c r="S71" s="115" t="str">
        <f>IF(OR(T71="Preventivo",T71="Detectivo"),"Probabilidad",IF(T71="Correctivo","Impacto",""))</f>
        <v/>
      </c>
      <c r="T71" s="116"/>
      <c r="U71" s="116"/>
      <c r="V71" s="117" t="str">
        <f t="shared" si="77"/>
        <v/>
      </c>
      <c r="W71" s="116"/>
      <c r="X71" s="116"/>
      <c r="Y71" s="116"/>
      <c r="Z71" s="118" t="str">
        <f>IFERROR(IF(AND(S70="Probabilidad",S71="Probabilidad"),(AB70-(+AB70*V71)),IF(AND(S70="Impacto",S71="Probabilidad"),(AB69-(+AB69*V71)),IF(S71="Impacto",AB70,""))),"")</f>
        <v/>
      </c>
      <c r="AA71" s="119" t="str">
        <f t="shared" si="78"/>
        <v/>
      </c>
      <c r="AB71" s="117" t="str">
        <f t="shared" si="79"/>
        <v/>
      </c>
      <c r="AC71" s="119" t="str">
        <f t="shared" si="80"/>
        <v/>
      </c>
      <c r="AD71" s="117" t="str">
        <f>IFERROR(IF(AND(S70="Impacto",S71="Impacto"),(AD70-(+AD70*V71)),IF(AND(S70="Probabilidad",S71="Impacto"),(AD69-(+AD69*V71)),IF(S71="Probabilidad",AD70,""))),"")</f>
        <v/>
      </c>
      <c r="AE71" s="120" t="str">
        <f t="shared" si="81"/>
        <v/>
      </c>
      <c r="AF71" s="116"/>
      <c r="AG71" s="121"/>
      <c r="AH71" s="122"/>
      <c r="AI71" s="123"/>
      <c r="AJ71" s="123"/>
      <c r="AK71" s="121"/>
      <c r="AL71" s="122"/>
    </row>
    <row r="72" spans="1:38" x14ac:dyDescent="0.3">
      <c r="A72" s="211"/>
      <c r="B72" s="139"/>
      <c r="C72" s="139"/>
      <c r="D72" s="212"/>
      <c r="E72" s="204"/>
      <c r="F72" s="141"/>
      <c r="G72" s="212"/>
      <c r="H72" s="140"/>
      <c r="I72" s="213"/>
      <c r="J72" s="200"/>
      <c r="K72" s="201"/>
      <c r="L72" s="203"/>
      <c r="M72" s="201">
        <f>IF(NOT(ISERROR(MATCH(L72,_xlfn.ANCHORARRAY(E83),0))),K85&amp;"Por favor no seleccionar los criterios de impacto",L72)</f>
        <v>0</v>
      </c>
      <c r="N72" s="200"/>
      <c r="O72" s="201"/>
      <c r="P72" s="202"/>
      <c r="Q72" s="113">
        <v>4</v>
      </c>
      <c r="R72" s="114"/>
      <c r="S72" s="115" t="str">
        <f t="shared" ref="S72:S74" si="82">IF(OR(T72="Preventivo",T72="Detectivo"),"Probabilidad",IF(T72="Correctivo","Impacto",""))</f>
        <v/>
      </c>
      <c r="T72" s="116"/>
      <c r="U72" s="116"/>
      <c r="V72" s="117" t="str">
        <f t="shared" si="77"/>
        <v/>
      </c>
      <c r="W72" s="116"/>
      <c r="X72" s="116"/>
      <c r="Y72" s="116"/>
      <c r="Z72" s="118" t="str">
        <f t="shared" ref="Z72:Z74" si="83">IFERROR(IF(AND(S71="Probabilidad",S72="Probabilidad"),(AB71-(+AB71*V72)),IF(AND(S71="Impacto",S72="Probabilidad"),(AB70-(+AB70*V72)),IF(S72="Impacto",AB71,""))),"")</f>
        <v/>
      </c>
      <c r="AA72" s="119" t="str">
        <f t="shared" si="78"/>
        <v/>
      </c>
      <c r="AB72" s="117" t="str">
        <f t="shared" si="79"/>
        <v/>
      </c>
      <c r="AC72" s="119" t="str">
        <f t="shared" si="80"/>
        <v/>
      </c>
      <c r="AD72" s="117" t="str">
        <f t="shared" ref="AD72:AD74" si="84">IFERROR(IF(AND(S71="Impacto",S72="Impacto"),(AD71-(+AD71*V72)),IF(AND(S71="Probabilidad",S72="Impacto"),(AD70-(+AD70*V72)),IF(S72="Probabilidad",AD71,""))),"")</f>
        <v/>
      </c>
      <c r="AE72" s="120" t="str">
        <f>IFERROR(IF(OR(AND(AA72="Muy Baja",AC72="Leve"),AND(AA72="Muy Baja",AC72="Menor"),AND(AA72="Baja",AC72="Leve")),"Bajo",IF(OR(AND(AA72="Muy baja",AC72="Moderado"),AND(AA72="Baja",AC72="Menor"),AND(AA72="Baja",AC72="Moderado"),AND(AA72="Media",AC72="Leve"),AND(AA72="Media",AC72="Menor"),AND(AA72="Media",AC72="Moderado"),AND(AA72="Alta",AC72="Leve"),AND(AA72="Alta",AC72="Menor")),"Moderado",IF(OR(AND(AA72="Muy Baja",AC72="Mayor"),AND(AA72="Baja",AC72="Mayor"),AND(AA72="Media",AC72="Mayor"),AND(AA72="Alta",AC72="Moderado"),AND(AA72="Alta",AC72="Mayor"),AND(AA72="Muy Alta",AC72="Leve"),AND(AA72="Muy Alta",AC72="Menor"),AND(AA72="Muy Alta",AC72="Moderado"),AND(AA72="Muy Alta",AC72="Mayor")),"Alto",IF(OR(AND(AA72="Muy Baja",AC72="Catastrófico"),AND(AA72="Baja",AC72="Catastrófico"),AND(AA72="Media",AC72="Catastrófico"),AND(AA72="Alta",AC72="Catastrófico"),AND(AA72="Muy Alta",AC72="Catastrófico")),"Extremo","")))),"")</f>
        <v/>
      </c>
      <c r="AF72" s="116"/>
      <c r="AG72" s="121"/>
      <c r="AH72" s="122"/>
      <c r="AI72" s="123"/>
      <c r="AJ72" s="123"/>
      <c r="AK72" s="121"/>
      <c r="AL72" s="122"/>
    </row>
    <row r="73" spans="1:38" x14ac:dyDescent="0.3">
      <c r="A73" s="211"/>
      <c r="B73" s="139"/>
      <c r="C73" s="139"/>
      <c r="D73" s="212"/>
      <c r="E73" s="204"/>
      <c r="F73" s="141"/>
      <c r="G73" s="212"/>
      <c r="H73" s="140"/>
      <c r="I73" s="213"/>
      <c r="J73" s="200"/>
      <c r="K73" s="201"/>
      <c r="L73" s="203"/>
      <c r="M73" s="201">
        <f>IF(NOT(ISERROR(MATCH(L73,_xlfn.ANCHORARRAY(E84),0))),K86&amp;"Por favor no seleccionar los criterios de impacto",L73)</f>
        <v>0</v>
      </c>
      <c r="N73" s="200"/>
      <c r="O73" s="201"/>
      <c r="P73" s="202"/>
      <c r="Q73" s="113">
        <v>5</v>
      </c>
      <c r="R73" s="114"/>
      <c r="S73" s="115" t="str">
        <f t="shared" si="82"/>
        <v/>
      </c>
      <c r="T73" s="116"/>
      <c r="U73" s="116"/>
      <c r="V73" s="117" t="str">
        <f t="shared" si="77"/>
        <v/>
      </c>
      <c r="W73" s="116"/>
      <c r="X73" s="116"/>
      <c r="Y73" s="116"/>
      <c r="Z73" s="118" t="str">
        <f t="shared" si="83"/>
        <v/>
      </c>
      <c r="AA73" s="119" t="str">
        <f t="shared" si="78"/>
        <v/>
      </c>
      <c r="AB73" s="117" t="str">
        <f t="shared" si="79"/>
        <v/>
      </c>
      <c r="AC73" s="119" t="str">
        <f t="shared" si="80"/>
        <v/>
      </c>
      <c r="AD73" s="117" t="str">
        <f t="shared" si="84"/>
        <v/>
      </c>
      <c r="AE73" s="120" t="str">
        <f t="shared" ref="AE73:AE74" si="85">IFERROR(IF(OR(AND(AA73="Muy Baja",AC73="Leve"),AND(AA73="Muy Baja",AC73="Menor"),AND(AA73="Baja",AC73="Leve")),"Bajo",IF(OR(AND(AA73="Muy baja",AC73="Moderado"),AND(AA73="Baja",AC73="Menor"),AND(AA73="Baja",AC73="Moderado"),AND(AA73="Media",AC73="Leve"),AND(AA73="Media",AC73="Menor"),AND(AA73="Media",AC73="Moderado"),AND(AA73="Alta",AC73="Leve"),AND(AA73="Alta",AC73="Menor")),"Moderado",IF(OR(AND(AA73="Muy Baja",AC73="Mayor"),AND(AA73="Baja",AC73="Mayor"),AND(AA73="Media",AC73="Mayor"),AND(AA73="Alta",AC73="Moderado"),AND(AA73="Alta",AC73="Mayor"),AND(AA73="Muy Alta",AC73="Leve"),AND(AA73="Muy Alta",AC73="Menor"),AND(AA73="Muy Alta",AC73="Moderado"),AND(AA73="Muy Alta",AC73="Mayor")),"Alto",IF(OR(AND(AA73="Muy Baja",AC73="Catastrófico"),AND(AA73="Baja",AC73="Catastrófico"),AND(AA73="Media",AC73="Catastrófico"),AND(AA73="Alta",AC73="Catastrófico"),AND(AA73="Muy Alta",AC73="Catastrófico")),"Extremo","")))),"")</f>
        <v/>
      </c>
      <c r="AF73" s="116"/>
      <c r="AG73" s="121"/>
      <c r="AH73" s="122"/>
      <c r="AI73" s="123"/>
      <c r="AJ73" s="123"/>
      <c r="AK73" s="121"/>
      <c r="AL73" s="122"/>
    </row>
    <row r="74" spans="1:38" x14ac:dyDescent="0.3">
      <c r="A74" s="211"/>
      <c r="B74" s="139"/>
      <c r="C74" s="139"/>
      <c r="D74" s="212"/>
      <c r="E74" s="204"/>
      <c r="F74" s="141"/>
      <c r="G74" s="212"/>
      <c r="H74" s="140"/>
      <c r="I74" s="213"/>
      <c r="J74" s="200"/>
      <c r="K74" s="201"/>
      <c r="L74" s="203"/>
      <c r="M74" s="201">
        <f>IF(NOT(ISERROR(MATCH(L74,_xlfn.ANCHORARRAY(E85),0))),K87&amp;"Por favor no seleccionar los criterios de impacto",L74)</f>
        <v>0</v>
      </c>
      <c r="N74" s="200"/>
      <c r="O74" s="201"/>
      <c r="P74" s="202"/>
      <c r="Q74" s="113">
        <v>6</v>
      </c>
      <c r="R74" s="114"/>
      <c r="S74" s="115" t="str">
        <f t="shared" si="82"/>
        <v/>
      </c>
      <c r="T74" s="116"/>
      <c r="U74" s="116"/>
      <c r="V74" s="117" t="str">
        <f t="shared" si="77"/>
        <v/>
      </c>
      <c r="W74" s="116"/>
      <c r="X74" s="116"/>
      <c r="Y74" s="116"/>
      <c r="Z74" s="118" t="str">
        <f t="shared" si="83"/>
        <v/>
      </c>
      <c r="AA74" s="119" t="str">
        <f t="shared" si="78"/>
        <v/>
      </c>
      <c r="AB74" s="117" t="str">
        <f t="shared" si="79"/>
        <v/>
      </c>
      <c r="AC74" s="119" t="str">
        <f t="shared" si="80"/>
        <v/>
      </c>
      <c r="AD74" s="117" t="str">
        <f t="shared" si="84"/>
        <v/>
      </c>
      <c r="AE74" s="120" t="str">
        <f t="shared" si="85"/>
        <v/>
      </c>
      <c r="AF74" s="116"/>
      <c r="AG74" s="121"/>
      <c r="AH74" s="122"/>
      <c r="AI74" s="123"/>
      <c r="AJ74" s="123"/>
      <c r="AK74" s="121"/>
      <c r="AL74" s="122"/>
    </row>
    <row r="75" spans="1:38" x14ac:dyDescent="0.3">
      <c r="A75" s="211">
        <v>2</v>
      </c>
      <c r="B75" s="139"/>
      <c r="C75" s="139"/>
      <c r="D75" s="212"/>
      <c r="E75" s="204"/>
      <c r="F75" s="141"/>
      <c r="G75" s="212"/>
      <c r="H75" s="140"/>
      <c r="I75" s="213"/>
      <c r="J75" s="200" t="str">
        <f>IF(I75&lt;=0,"",IF(I75&lt;=2,"Muy Baja",IF(I75&lt;=24,"Baja",IF(I75&lt;=500,"Media",IF(I75&lt;=5000,"Alta","Muy Alta")))))</f>
        <v/>
      </c>
      <c r="K75" s="201" t="str">
        <f>IF(J75="","",IF(J75="Muy Baja",0.2,IF(J75="Baja",0.4,IF(J75="Media",0.6,IF(J75="Alta",0.8,IF(J75="Muy Alta",1,))))))</f>
        <v/>
      </c>
      <c r="L75" s="203"/>
      <c r="M75" s="201">
        <f>IF(NOT(ISERROR(MATCH(L75,'Tabla Impacto'!$B$221:$B$223,0))),'Tabla Impacto'!$F$223&amp;"Por favor no seleccionar los criterios de impacto(Afectación Económica o presupuestal y Pérdida Reputacional)",L75)</f>
        <v>0</v>
      </c>
      <c r="N75" s="200" t="str">
        <f>IF(OR(M75='Tabla Impacto'!$C$11,M75='Tabla Impacto'!$D$11),"Leve",IF(OR(M75='Tabla Impacto'!$C$12,M75='Tabla Impacto'!$D$12),"Menor",IF(OR(M75='Tabla Impacto'!$C$13,M75='Tabla Impacto'!$D$13),"Moderado",IF(OR(M75='Tabla Impacto'!$C$14,M75='Tabla Impacto'!$D$14),"Mayor",IF(OR(M75='Tabla Impacto'!$C$15,M75='Tabla Impacto'!$D$15),"Catastrófico","")))))</f>
        <v/>
      </c>
      <c r="O75" s="201" t="str">
        <f>IF(N75="","",IF(N75="Leve",0.2,IF(N75="Menor",0.4,IF(N75="Moderado",0.6,IF(N75="Mayor",0.8,IF(N75="Catastrófico",1,))))))</f>
        <v/>
      </c>
      <c r="P75" s="202" t="str">
        <f>IF(OR(AND(J75="Muy Baja",N75="Leve"),AND(J75="Muy Baja",N75="Menor"),AND(J75="Baja",N75="Leve")),"Bajo",IF(OR(AND(J75="Muy baja",N75="Moderado"),AND(J75="Baja",N75="Menor"),AND(J75="Baja",N75="Moderado"),AND(J75="Media",N75="Leve"),AND(J75="Media",N75="Menor"),AND(J75="Media",N75="Moderado"),AND(J75="Alta",N75="Leve"),AND(J75="Alta",N75="Menor")),"Moderado",IF(OR(AND(J75="Muy Baja",N75="Mayor"),AND(J75="Baja",N75="Mayor"),AND(J75="Media",N75="Mayor"),AND(J75="Alta",N75="Moderado"),AND(J75="Alta",N75="Mayor"),AND(J75="Muy Alta",N75="Leve"),AND(J75="Muy Alta",N75="Menor"),AND(J75="Muy Alta",N75="Moderado"),AND(J75="Muy Alta",N75="Mayor")),"Alto",IF(OR(AND(J75="Muy Baja",N75="Catastrófico"),AND(J75="Baja",N75="Catastrófico"),AND(J75="Media",N75="Catastrófico"),AND(J75="Alta",N75="Catastrófico"),AND(J75="Muy Alta",N75="Catastrófico")),"Extremo",""))))</f>
        <v/>
      </c>
      <c r="Q75" s="113">
        <v>1</v>
      </c>
      <c r="R75" s="114"/>
      <c r="S75" s="115" t="str">
        <f>IF(OR(T75="Preventivo",T75="Detectivo"),"Probabilidad",IF(T75="Correctivo","Impacto",""))</f>
        <v/>
      </c>
      <c r="T75" s="116"/>
      <c r="U75" s="116"/>
      <c r="V75" s="117" t="str">
        <f>IF(AND(T75="Preventivo",U75="Automático"),"50%",IF(AND(T75="Preventivo",U75="Manual"),"40%",IF(AND(T75="Detectivo",U75="Automático"),"40%",IF(AND(T75="Detectivo",U75="Manual"),"30%",IF(AND(T75="Correctivo",U75="Automático"),"35%",IF(AND(T75="Correctivo",U75="Manual"),"25%",""))))))</f>
        <v/>
      </c>
      <c r="W75" s="116"/>
      <c r="X75" s="116"/>
      <c r="Y75" s="116"/>
      <c r="Z75" s="118" t="str">
        <f>IFERROR(IF(S75="Probabilidad",(K75-(+K75*V75)),IF(S75="Impacto",K75,"")),"")</f>
        <v/>
      </c>
      <c r="AA75" s="119" t="str">
        <f>IFERROR(IF(Z75="","",IF(Z75&lt;=0.2,"Muy Baja",IF(Z75&lt;=0.4,"Baja",IF(Z75&lt;=0.6,"Media",IF(Z75&lt;=0.8,"Alta","Muy Alta"))))),"")</f>
        <v/>
      </c>
      <c r="AB75" s="117" t="str">
        <f>+Z75</f>
        <v/>
      </c>
      <c r="AC75" s="119" t="str">
        <f>IFERROR(IF(AD75="","",IF(AD75&lt;=0.2,"Leve",IF(AD75&lt;=0.4,"Menor",IF(AD75&lt;=0.6,"Moderado",IF(AD75&lt;=0.8,"Mayor","Catastrófico"))))),"")</f>
        <v/>
      </c>
      <c r="AD75" s="117" t="str">
        <f>IFERROR(IF(S75="Impacto",(O75-(+O75*V75)),IF(S75="Probabilidad",O75,"")),"")</f>
        <v/>
      </c>
      <c r="AE75" s="120" t="str">
        <f>IFERROR(IF(OR(AND(AA75="Muy Baja",AC75="Leve"),AND(AA75="Muy Baja",AC75="Menor"),AND(AA75="Baja",AC75="Leve")),"Bajo",IF(OR(AND(AA75="Muy baja",AC75="Moderado"),AND(AA75="Baja",AC75="Menor"),AND(AA75="Baja",AC75="Moderado"),AND(AA75="Media",AC75="Leve"),AND(AA75="Media",AC75="Menor"),AND(AA75="Media",AC75="Moderado"),AND(AA75="Alta",AC75="Leve"),AND(AA75="Alta",AC75="Menor")),"Moderado",IF(OR(AND(AA75="Muy Baja",AC75="Mayor"),AND(AA75="Baja",AC75="Mayor"),AND(AA75="Media",AC75="Mayor"),AND(AA75="Alta",AC75="Moderado"),AND(AA75="Alta",AC75="Mayor"),AND(AA75="Muy Alta",AC75="Leve"),AND(AA75="Muy Alta",AC75="Menor"),AND(AA75="Muy Alta",AC75="Moderado"),AND(AA75="Muy Alta",AC75="Mayor")),"Alto",IF(OR(AND(AA75="Muy Baja",AC75="Catastrófico"),AND(AA75="Baja",AC75="Catastrófico"),AND(AA75="Media",AC75="Catastrófico"),AND(AA75="Alta",AC75="Catastrófico"),AND(AA75="Muy Alta",AC75="Catastrófico")),"Extremo","")))),"")</f>
        <v/>
      </c>
      <c r="AF75" s="116"/>
      <c r="AG75" s="121"/>
      <c r="AH75" s="122"/>
      <c r="AI75" s="123"/>
      <c r="AJ75" s="123"/>
      <c r="AK75" s="121"/>
      <c r="AL75" s="122"/>
    </row>
    <row r="76" spans="1:38" x14ac:dyDescent="0.3">
      <c r="A76" s="211"/>
      <c r="B76" s="139"/>
      <c r="C76" s="139"/>
      <c r="D76" s="212"/>
      <c r="E76" s="204"/>
      <c r="F76" s="141"/>
      <c r="G76" s="212"/>
      <c r="H76" s="140"/>
      <c r="I76" s="213"/>
      <c r="J76" s="200"/>
      <c r="K76" s="201"/>
      <c r="L76" s="203"/>
      <c r="M76" s="201">
        <f>IF(NOT(ISERROR(MATCH(L76,_xlfn.ANCHORARRAY(E87),0))),K89&amp;"Por favor no seleccionar los criterios de impacto",L76)</f>
        <v>0</v>
      </c>
      <c r="N76" s="200"/>
      <c r="O76" s="201"/>
      <c r="P76" s="202"/>
      <c r="Q76" s="113">
        <v>2</v>
      </c>
      <c r="R76" s="114"/>
      <c r="S76" s="115" t="str">
        <f>IF(OR(T76="Preventivo",T76="Detectivo"),"Probabilidad",IF(T76="Correctivo","Impacto",""))</f>
        <v/>
      </c>
      <c r="T76" s="116"/>
      <c r="U76" s="116"/>
      <c r="V76" s="117" t="str">
        <f t="shared" ref="V76:V80" si="86">IF(AND(T76="Preventivo",U76="Automático"),"50%",IF(AND(T76="Preventivo",U76="Manual"),"40%",IF(AND(T76="Detectivo",U76="Automático"),"40%",IF(AND(T76="Detectivo",U76="Manual"),"30%",IF(AND(T76="Correctivo",U76="Automático"),"35%",IF(AND(T76="Correctivo",U76="Manual"),"25%",""))))))</f>
        <v/>
      </c>
      <c r="W76" s="116"/>
      <c r="X76" s="116"/>
      <c r="Y76" s="116"/>
      <c r="Z76" s="118" t="str">
        <f>IFERROR(IF(AND(S75="Probabilidad",S76="Probabilidad"),(AB75-(+AB75*V76)),IF(S76="Probabilidad",(K75-(+K75*V76)),IF(S76="Impacto",AB75,""))),"")</f>
        <v/>
      </c>
      <c r="AA76" s="119" t="str">
        <f t="shared" ref="AA76:AA80" si="87">IFERROR(IF(Z76="","",IF(Z76&lt;=0.2,"Muy Baja",IF(Z76&lt;=0.4,"Baja",IF(Z76&lt;=0.6,"Media",IF(Z76&lt;=0.8,"Alta","Muy Alta"))))),"")</f>
        <v/>
      </c>
      <c r="AB76" s="117" t="str">
        <f t="shared" ref="AB76:AB80" si="88">+Z76</f>
        <v/>
      </c>
      <c r="AC76" s="119" t="str">
        <f t="shared" ref="AC76:AC80" si="89">IFERROR(IF(AD76="","",IF(AD76&lt;=0.2,"Leve",IF(AD76&lt;=0.4,"Menor",IF(AD76&lt;=0.6,"Moderado",IF(AD76&lt;=0.8,"Mayor","Catastrófico"))))),"")</f>
        <v/>
      </c>
      <c r="AD76" s="117" t="str">
        <f>IFERROR(IF(AND(S75="Impacto",S76="Impacto"),(AD69-(+AD69*V76)),IF(S76="Impacto",($O$15-(+$O$15*V76)),IF(S76="Probabilidad",AD69,""))),"")</f>
        <v/>
      </c>
      <c r="AE76" s="120" t="str">
        <f t="shared" ref="AE76:AE77" si="90">IFERROR(IF(OR(AND(AA76="Muy Baja",AC76="Leve"),AND(AA76="Muy Baja",AC76="Menor"),AND(AA76="Baja",AC76="Leve")),"Bajo",IF(OR(AND(AA76="Muy baja",AC76="Moderado"),AND(AA76="Baja",AC76="Menor"),AND(AA76="Baja",AC76="Moderado"),AND(AA76="Media",AC76="Leve"),AND(AA76="Media",AC76="Menor"),AND(AA76="Media",AC76="Moderado"),AND(AA76="Alta",AC76="Leve"),AND(AA76="Alta",AC76="Menor")),"Moderado",IF(OR(AND(AA76="Muy Baja",AC76="Mayor"),AND(AA76="Baja",AC76="Mayor"),AND(AA76="Media",AC76="Mayor"),AND(AA76="Alta",AC76="Moderado"),AND(AA76="Alta",AC76="Mayor"),AND(AA76="Muy Alta",AC76="Leve"),AND(AA76="Muy Alta",AC76="Menor"),AND(AA76="Muy Alta",AC76="Moderado"),AND(AA76="Muy Alta",AC76="Mayor")),"Alto",IF(OR(AND(AA76="Muy Baja",AC76="Catastrófico"),AND(AA76="Baja",AC76="Catastrófico"),AND(AA76="Media",AC76="Catastrófico"),AND(AA76="Alta",AC76="Catastrófico"),AND(AA76="Muy Alta",AC76="Catastrófico")),"Extremo","")))),"")</f>
        <v/>
      </c>
      <c r="AF76" s="116"/>
      <c r="AG76" s="121"/>
      <c r="AH76" s="122"/>
      <c r="AI76" s="123"/>
      <c r="AJ76" s="123"/>
      <c r="AK76" s="121"/>
      <c r="AL76" s="122"/>
    </row>
    <row r="77" spans="1:38" x14ac:dyDescent="0.3">
      <c r="A77" s="211"/>
      <c r="B77" s="139"/>
      <c r="C77" s="139"/>
      <c r="D77" s="212"/>
      <c r="E77" s="204"/>
      <c r="F77" s="141"/>
      <c r="G77" s="212"/>
      <c r="H77" s="140"/>
      <c r="I77" s="213"/>
      <c r="J77" s="200"/>
      <c r="K77" s="201"/>
      <c r="L77" s="203"/>
      <c r="M77" s="201">
        <f>IF(NOT(ISERROR(MATCH(L77,_xlfn.ANCHORARRAY(E88),0))),K90&amp;"Por favor no seleccionar los criterios de impacto",L77)</f>
        <v>0</v>
      </c>
      <c r="N77" s="200"/>
      <c r="O77" s="201"/>
      <c r="P77" s="202"/>
      <c r="Q77" s="113">
        <v>3</v>
      </c>
      <c r="R77" s="126"/>
      <c r="S77" s="115" t="str">
        <f>IF(OR(T77="Preventivo",T77="Detectivo"),"Probabilidad",IF(T77="Correctivo","Impacto",""))</f>
        <v/>
      </c>
      <c r="T77" s="116"/>
      <c r="U77" s="116"/>
      <c r="V77" s="117" t="str">
        <f t="shared" si="86"/>
        <v/>
      </c>
      <c r="W77" s="116"/>
      <c r="X77" s="116"/>
      <c r="Y77" s="116"/>
      <c r="Z77" s="118" t="str">
        <f>IFERROR(IF(AND(S76="Probabilidad",S77="Probabilidad"),(AB76-(+AB76*V77)),IF(AND(S76="Impacto",S77="Probabilidad"),(AB75-(+AB75*V77)),IF(S77="Impacto",AB76,""))),"")</f>
        <v/>
      </c>
      <c r="AA77" s="119" t="str">
        <f t="shared" si="87"/>
        <v/>
      </c>
      <c r="AB77" s="117" t="str">
        <f t="shared" si="88"/>
        <v/>
      </c>
      <c r="AC77" s="119" t="str">
        <f t="shared" si="89"/>
        <v/>
      </c>
      <c r="AD77" s="117" t="str">
        <f>IFERROR(IF(AND(S76="Impacto",S77="Impacto"),(AD76-(+AD76*V77)),IF(AND(S76="Probabilidad",S77="Impacto"),(AD75-(+AD75*V77)),IF(S77="Probabilidad",AD76,""))),"")</f>
        <v/>
      </c>
      <c r="AE77" s="120" t="str">
        <f t="shared" si="90"/>
        <v/>
      </c>
      <c r="AF77" s="116"/>
      <c r="AG77" s="121"/>
      <c r="AH77" s="122"/>
      <c r="AI77" s="123"/>
      <c r="AJ77" s="123"/>
      <c r="AK77" s="121"/>
      <c r="AL77" s="122"/>
    </row>
    <row r="78" spans="1:38" x14ac:dyDescent="0.3">
      <c r="A78" s="211"/>
      <c r="B78" s="139"/>
      <c r="C78" s="139"/>
      <c r="D78" s="212"/>
      <c r="E78" s="204"/>
      <c r="F78" s="141"/>
      <c r="G78" s="212"/>
      <c r="H78" s="140"/>
      <c r="I78" s="213"/>
      <c r="J78" s="200"/>
      <c r="K78" s="201"/>
      <c r="L78" s="203"/>
      <c r="M78" s="201">
        <f>IF(NOT(ISERROR(MATCH(L78,_xlfn.ANCHORARRAY(E89),0))),K91&amp;"Por favor no seleccionar los criterios de impacto",L78)</f>
        <v>0</v>
      </c>
      <c r="N78" s="200"/>
      <c r="O78" s="201"/>
      <c r="P78" s="202"/>
      <c r="Q78" s="113">
        <v>4</v>
      </c>
      <c r="R78" s="114"/>
      <c r="S78" s="115" t="str">
        <f t="shared" ref="S78:S80" si="91">IF(OR(T78="Preventivo",T78="Detectivo"),"Probabilidad",IF(T78="Correctivo","Impacto",""))</f>
        <v/>
      </c>
      <c r="T78" s="116"/>
      <c r="U78" s="116"/>
      <c r="V78" s="117" t="str">
        <f t="shared" si="86"/>
        <v/>
      </c>
      <c r="W78" s="116"/>
      <c r="X78" s="116"/>
      <c r="Y78" s="116"/>
      <c r="Z78" s="118" t="str">
        <f t="shared" ref="Z78:Z80" si="92">IFERROR(IF(AND(S77="Probabilidad",S78="Probabilidad"),(AB77-(+AB77*V78)),IF(AND(S77="Impacto",S78="Probabilidad"),(AB76-(+AB76*V78)),IF(S78="Impacto",AB77,""))),"")</f>
        <v/>
      </c>
      <c r="AA78" s="119" t="str">
        <f t="shared" si="87"/>
        <v/>
      </c>
      <c r="AB78" s="117" t="str">
        <f t="shared" si="88"/>
        <v/>
      </c>
      <c r="AC78" s="119" t="str">
        <f t="shared" si="89"/>
        <v/>
      </c>
      <c r="AD78" s="117" t="str">
        <f t="shared" ref="AD78:AD80" si="93">IFERROR(IF(AND(S77="Impacto",S78="Impacto"),(AD77-(+AD77*V78)),IF(AND(S77="Probabilidad",S78="Impacto"),(AD76-(+AD76*V78)),IF(S78="Probabilidad",AD77,""))),"")</f>
        <v/>
      </c>
      <c r="AE78" s="120" t="str">
        <f>IFERROR(IF(OR(AND(AA78="Muy Baja",AC78="Leve"),AND(AA78="Muy Baja",AC78="Menor"),AND(AA78="Baja",AC78="Leve")),"Bajo",IF(OR(AND(AA78="Muy baja",AC78="Moderado"),AND(AA78="Baja",AC78="Menor"),AND(AA78="Baja",AC78="Moderado"),AND(AA78="Media",AC78="Leve"),AND(AA78="Media",AC78="Menor"),AND(AA78="Media",AC78="Moderado"),AND(AA78="Alta",AC78="Leve"),AND(AA78="Alta",AC78="Menor")),"Moderado",IF(OR(AND(AA78="Muy Baja",AC78="Mayor"),AND(AA78="Baja",AC78="Mayor"),AND(AA78="Media",AC78="Mayor"),AND(AA78="Alta",AC78="Moderado"),AND(AA78="Alta",AC78="Mayor"),AND(AA78="Muy Alta",AC78="Leve"),AND(AA78="Muy Alta",AC78="Menor"),AND(AA78="Muy Alta",AC78="Moderado"),AND(AA78="Muy Alta",AC78="Mayor")),"Alto",IF(OR(AND(AA78="Muy Baja",AC78="Catastrófico"),AND(AA78="Baja",AC78="Catastrófico"),AND(AA78="Media",AC78="Catastrófico"),AND(AA78="Alta",AC78="Catastrófico"),AND(AA78="Muy Alta",AC78="Catastrófico")),"Extremo","")))),"")</f>
        <v/>
      </c>
      <c r="AF78" s="116"/>
      <c r="AG78" s="121"/>
      <c r="AH78" s="122"/>
      <c r="AI78" s="123"/>
      <c r="AJ78" s="123"/>
      <c r="AK78" s="121"/>
      <c r="AL78" s="122"/>
    </row>
    <row r="79" spans="1:38" x14ac:dyDescent="0.3">
      <c r="A79" s="211"/>
      <c r="B79" s="139"/>
      <c r="C79" s="139"/>
      <c r="D79" s="212"/>
      <c r="E79" s="204"/>
      <c r="F79" s="141"/>
      <c r="G79" s="212"/>
      <c r="H79" s="140"/>
      <c r="I79" s="213"/>
      <c r="J79" s="200"/>
      <c r="K79" s="201"/>
      <c r="L79" s="203"/>
      <c r="M79" s="201">
        <f>IF(NOT(ISERROR(MATCH(L79,_xlfn.ANCHORARRAY(E90),0))),K92&amp;"Por favor no seleccionar los criterios de impacto",L79)</f>
        <v>0</v>
      </c>
      <c r="N79" s="200"/>
      <c r="O79" s="201"/>
      <c r="P79" s="202"/>
      <c r="Q79" s="113">
        <v>5</v>
      </c>
      <c r="R79" s="114"/>
      <c r="S79" s="115" t="str">
        <f t="shared" si="91"/>
        <v/>
      </c>
      <c r="T79" s="116"/>
      <c r="U79" s="116"/>
      <c r="V79" s="117" t="str">
        <f t="shared" si="86"/>
        <v/>
      </c>
      <c r="W79" s="116"/>
      <c r="X79" s="116"/>
      <c r="Y79" s="116"/>
      <c r="Z79" s="118" t="str">
        <f t="shared" si="92"/>
        <v/>
      </c>
      <c r="AA79" s="119" t="str">
        <f t="shared" si="87"/>
        <v/>
      </c>
      <c r="AB79" s="117" t="str">
        <f t="shared" si="88"/>
        <v/>
      </c>
      <c r="AC79" s="119" t="str">
        <f t="shared" si="89"/>
        <v/>
      </c>
      <c r="AD79" s="117" t="str">
        <f t="shared" si="93"/>
        <v/>
      </c>
      <c r="AE79" s="120" t="str">
        <f t="shared" ref="AE79:AE80" si="94">IFERROR(IF(OR(AND(AA79="Muy Baja",AC79="Leve"),AND(AA79="Muy Baja",AC79="Menor"),AND(AA79="Baja",AC79="Leve")),"Bajo",IF(OR(AND(AA79="Muy baja",AC79="Moderado"),AND(AA79="Baja",AC79="Menor"),AND(AA79="Baja",AC79="Moderado"),AND(AA79="Media",AC79="Leve"),AND(AA79="Media",AC79="Menor"),AND(AA79="Media",AC79="Moderado"),AND(AA79="Alta",AC79="Leve"),AND(AA79="Alta",AC79="Menor")),"Moderado",IF(OR(AND(AA79="Muy Baja",AC79="Mayor"),AND(AA79="Baja",AC79="Mayor"),AND(AA79="Media",AC79="Mayor"),AND(AA79="Alta",AC79="Moderado"),AND(AA79="Alta",AC79="Mayor"),AND(AA79="Muy Alta",AC79="Leve"),AND(AA79="Muy Alta",AC79="Menor"),AND(AA79="Muy Alta",AC79="Moderado"),AND(AA79="Muy Alta",AC79="Mayor")),"Alto",IF(OR(AND(AA79="Muy Baja",AC79="Catastrófico"),AND(AA79="Baja",AC79="Catastrófico"),AND(AA79="Media",AC79="Catastrófico"),AND(AA79="Alta",AC79="Catastrófico"),AND(AA79="Muy Alta",AC79="Catastrófico")),"Extremo","")))),"")</f>
        <v/>
      </c>
      <c r="AF79" s="116"/>
      <c r="AG79" s="121"/>
      <c r="AH79" s="122"/>
      <c r="AI79" s="123"/>
      <c r="AJ79" s="123"/>
      <c r="AK79" s="121"/>
      <c r="AL79" s="122"/>
    </row>
    <row r="80" spans="1:38" x14ac:dyDescent="0.3">
      <c r="A80" s="211"/>
      <c r="B80" s="139"/>
      <c r="C80" s="139"/>
      <c r="D80" s="212"/>
      <c r="E80" s="204"/>
      <c r="F80" s="141"/>
      <c r="G80" s="212"/>
      <c r="H80" s="140"/>
      <c r="I80" s="213"/>
      <c r="J80" s="200"/>
      <c r="K80" s="201"/>
      <c r="L80" s="203"/>
      <c r="M80" s="201">
        <f>IF(NOT(ISERROR(MATCH(L80,_xlfn.ANCHORARRAY(E91),0))),K93&amp;"Por favor no seleccionar los criterios de impacto",L80)</f>
        <v>0</v>
      </c>
      <c r="N80" s="200"/>
      <c r="O80" s="201"/>
      <c r="P80" s="202"/>
      <c r="Q80" s="113">
        <v>6</v>
      </c>
      <c r="R80" s="114"/>
      <c r="S80" s="115" t="str">
        <f t="shared" si="91"/>
        <v/>
      </c>
      <c r="T80" s="116"/>
      <c r="U80" s="116"/>
      <c r="V80" s="117" t="str">
        <f t="shared" si="86"/>
        <v/>
      </c>
      <c r="W80" s="116"/>
      <c r="X80" s="116"/>
      <c r="Y80" s="116"/>
      <c r="Z80" s="118" t="str">
        <f t="shared" si="92"/>
        <v/>
      </c>
      <c r="AA80" s="119" t="str">
        <f t="shared" si="87"/>
        <v/>
      </c>
      <c r="AB80" s="117" t="str">
        <f t="shared" si="88"/>
        <v/>
      </c>
      <c r="AC80" s="119" t="str">
        <f t="shared" si="89"/>
        <v/>
      </c>
      <c r="AD80" s="117" t="str">
        <f t="shared" si="93"/>
        <v/>
      </c>
      <c r="AE80" s="120" t="str">
        <f t="shared" si="94"/>
        <v/>
      </c>
      <c r="AF80" s="116"/>
      <c r="AG80" s="121"/>
      <c r="AH80" s="122"/>
      <c r="AI80" s="123"/>
      <c r="AJ80" s="123"/>
      <c r="AK80" s="121"/>
      <c r="AL80" s="122"/>
    </row>
    <row r="81" spans="1:38" x14ac:dyDescent="0.3">
      <c r="A81" s="211">
        <v>3</v>
      </c>
      <c r="B81" s="139"/>
      <c r="C81" s="139"/>
      <c r="D81" s="212"/>
      <c r="E81" s="204"/>
      <c r="F81" s="141"/>
      <c r="G81" s="212"/>
      <c r="H81" s="140"/>
      <c r="I81" s="213"/>
      <c r="J81" s="200" t="str">
        <f>IF(I81&lt;=0,"",IF(I81&lt;=2,"Muy Baja",IF(I81&lt;=24,"Baja",IF(I81&lt;=500,"Media",IF(I81&lt;=5000,"Alta","Muy Alta")))))</f>
        <v/>
      </c>
      <c r="K81" s="201" t="str">
        <f>IF(J81="","",IF(J81="Muy Baja",0.2,IF(J81="Baja",0.4,IF(J81="Media",0.6,IF(J81="Alta",0.8,IF(J81="Muy Alta",1,))))))</f>
        <v/>
      </c>
      <c r="L81" s="203"/>
      <c r="M81" s="201">
        <f>IF(NOT(ISERROR(MATCH(L81,'Tabla Impacto'!$B$221:$B$223,0))),'Tabla Impacto'!$F$223&amp;"Por favor no seleccionar los criterios de impacto(Afectación Económica o presupuestal y Pérdida Reputacional)",L81)</f>
        <v>0</v>
      </c>
      <c r="N81" s="200" t="str">
        <f>IF(OR(M81='Tabla Impacto'!$C$11,M81='Tabla Impacto'!$D$11),"Leve",IF(OR(M81='Tabla Impacto'!$C$12,M81='Tabla Impacto'!$D$12),"Menor",IF(OR(M81='Tabla Impacto'!$C$13,M81='Tabla Impacto'!$D$13),"Moderado",IF(OR(M81='Tabla Impacto'!$C$14,M81='Tabla Impacto'!$D$14),"Mayor",IF(OR(M81='Tabla Impacto'!$C$15,M81='Tabla Impacto'!$D$15),"Catastrófico","")))))</f>
        <v/>
      </c>
      <c r="O81" s="201" t="str">
        <f>IF(N81="","",IF(N81="Leve",0.2,IF(N81="Menor",0.4,IF(N81="Moderado",0.6,IF(N81="Mayor",0.8,IF(N81="Catastrófico",1,))))))</f>
        <v/>
      </c>
      <c r="P81" s="202" t="str">
        <f>IF(OR(AND(J81="Muy Baja",N81="Leve"),AND(J81="Muy Baja",N81="Menor"),AND(J81="Baja",N81="Leve")),"Bajo",IF(OR(AND(J81="Muy baja",N81="Moderado"),AND(J81="Baja",N81="Menor"),AND(J81="Baja",N81="Moderado"),AND(J81="Media",N81="Leve"),AND(J81="Media",N81="Menor"),AND(J81="Media",N81="Moderado"),AND(J81="Alta",N81="Leve"),AND(J81="Alta",N81="Menor")),"Moderado",IF(OR(AND(J81="Muy Baja",N81="Mayor"),AND(J81="Baja",N81="Mayor"),AND(J81="Media",N81="Mayor"),AND(J81="Alta",N81="Moderado"),AND(J81="Alta",N81="Mayor"),AND(J81="Muy Alta",N81="Leve"),AND(J81="Muy Alta",N81="Menor"),AND(J81="Muy Alta",N81="Moderado"),AND(J81="Muy Alta",N81="Mayor")),"Alto",IF(OR(AND(J81="Muy Baja",N81="Catastrófico"),AND(J81="Baja",N81="Catastrófico"),AND(J81="Media",N81="Catastrófico"),AND(J81="Alta",N81="Catastrófico"),AND(J81="Muy Alta",N81="Catastrófico")),"Extremo",""))))</f>
        <v/>
      </c>
      <c r="Q81" s="113">
        <v>1</v>
      </c>
      <c r="R81" s="114"/>
      <c r="S81" s="115" t="str">
        <f>IF(OR(T81="Preventivo",T81="Detectivo"),"Probabilidad",IF(T81="Correctivo","Impacto",""))</f>
        <v/>
      </c>
      <c r="T81" s="116"/>
      <c r="U81" s="116"/>
      <c r="V81" s="117" t="str">
        <f>IF(AND(T81="Preventivo",U81="Automático"),"50%",IF(AND(T81="Preventivo",U81="Manual"),"40%",IF(AND(T81="Detectivo",U81="Automático"),"40%",IF(AND(T81="Detectivo",U81="Manual"),"30%",IF(AND(T81="Correctivo",U81="Automático"),"35%",IF(AND(T81="Correctivo",U81="Manual"),"25%",""))))))</f>
        <v/>
      </c>
      <c r="W81" s="116"/>
      <c r="X81" s="116"/>
      <c r="Y81" s="116"/>
      <c r="Z81" s="118" t="str">
        <f>IFERROR(IF(S81="Probabilidad",(K81-(+K81*V81)),IF(S81="Impacto",K81,"")),"")</f>
        <v/>
      </c>
      <c r="AA81" s="119" t="str">
        <f>IFERROR(IF(Z81="","",IF(Z81&lt;=0.2,"Muy Baja",IF(Z81&lt;=0.4,"Baja",IF(Z81&lt;=0.6,"Media",IF(Z81&lt;=0.8,"Alta","Muy Alta"))))),"")</f>
        <v/>
      </c>
      <c r="AB81" s="117" t="str">
        <f>+Z81</f>
        <v/>
      </c>
      <c r="AC81" s="119" t="str">
        <f>IFERROR(IF(AD81="","",IF(AD81&lt;=0.2,"Leve",IF(AD81&lt;=0.4,"Menor",IF(AD81&lt;=0.6,"Moderado",IF(AD81&lt;=0.8,"Mayor","Catastrófico"))))),"")</f>
        <v/>
      </c>
      <c r="AD81" s="117" t="str">
        <f>IFERROR(IF(S81="Impacto",(O81-(+O81*V81)),IF(S81="Probabilidad",O81,"")),"")</f>
        <v/>
      </c>
      <c r="AE81" s="120" t="str">
        <f>IFERROR(IF(OR(AND(AA81="Muy Baja",AC81="Leve"),AND(AA81="Muy Baja",AC81="Menor"),AND(AA81="Baja",AC81="Leve")),"Bajo",IF(OR(AND(AA81="Muy baja",AC81="Moderado"),AND(AA81="Baja",AC81="Menor"),AND(AA81="Baja",AC81="Moderado"),AND(AA81="Media",AC81="Leve"),AND(AA81="Media",AC81="Menor"),AND(AA81="Media",AC81="Moderado"),AND(AA81="Alta",AC81="Leve"),AND(AA81="Alta",AC81="Menor")),"Moderado",IF(OR(AND(AA81="Muy Baja",AC81="Mayor"),AND(AA81="Baja",AC81="Mayor"),AND(AA81="Media",AC81="Mayor"),AND(AA81="Alta",AC81="Moderado"),AND(AA81="Alta",AC81="Mayor"),AND(AA81="Muy Alta",AC81="Leve"),AND(AA81="Muy Alta",AC81="Menor"),AND(AA81="Muy Alta",AC81="Moderado"),AND(AA81="Muy Alta",AC81="Mayor")),"Alto",IF(OR(AND(AA81="Muy Baja",AC81="Catastrófico"),AND(AA81="Baja",AC81="Catastrófico"),AND(AA81="Media",AC81="Catastrófico"),AND(AA81="Alta",AC81="Catastrófico"),AND(AA81="Muy Alta",AC81="Catastrófico")),"Extremo","")))),"")</f>
        <v/>
      </c>
      <c r="AF81" s="116"/>
      <c r="AG81" s="121"/>
      <c r="AH81" s="122"/>
      <c r="AI81" s="123"/>
      <c r="AJ81" s="123"/>
      <c r="AK81" s="121"/>
      <c r="AL81" s="122"/>
    </row>
    <row r="82" spans="1:38" x14ac:dyDescent="0.3">
      <c r="A82" s="211"/>
      <c r="B82" s="139"/>
      <c r="C82" s="139"/>
      <c r="D82" s="212"/>
      <c r="E82" s="204"/>
      <c r="F82" s="141"/>
      <c r="G82" s="212"/>
      <c r="H82" s="140"/>
      <c r="I82" s="213"/>
      <c r="J82" s="200"/>
      <c r="K82" s="201"/>
      <c r="L82" s="203"/>
      <c r="M82" s="201">
        <f t="shared" ref="M82:M86" si="95">IF(NOT(ISERROR(MATCH(L82,_xlfn.ANCHORARRAY(E93),0))),K95&amp;"Por favor no seleccionar los criterios de impacto",L82)</f>
        <v>0</v>
      </c>
      <c r="N82" s="200"/>
      <c r="O82" s="201"/>
      <c r="P82" s="202"/>
      <c r="Q82" s="113">
        <v>2</v>
      </c>
      <c r="R82" s="114"/>
      <c r="S82" s="115" t="str">
        <f>IF(OR(T82="Preventivo",T82="Detectivo"),"Probabilidad",IF(T82="Correctivo","Impacto",""))</f>
        <v/>
      </c>
      <c r="T82" s="116"/>
      <c r="U82" s="116"/>
      <c r="V82" s="117" t="str">
        <f t="shared" ref="V82:V86" si="96">IF(AND(T82="Preventivo",U82="Automático"),"50%",IF(AND(T82="Preventivo",U82="Manual"),"40%",IF(AND(T82="Detectivo",U82="Automático"),"40%",IF(AND(T82="Detectivo",U82="Manual"),"30%",IF(AND(T82="Correctivo",U82="Automático"),"35%",IF(AND(T82="Correctivo",U82="Manual"),"25%",""))))))</f>
        <v/>
      </c>
      <c r="W82" s="116"/>
      <c r="X82" s="116"/>
      <c r="Y82" s="116"/>
      <c r="Z82" s="127" t="str">
        <f>IFERROR(IF(AND(S81="Probabilidad",S82="Probabilidad"),(AB81-(+AB81*V82)),IF(S82="Probabilidad",(K81-(+K81*V82)),IF(S82="Impacto",AB81,""))),"")</f>
        <v/>
      </c>
      <c r="AA82" s="119" t="str">
        <f t="shared" ref="AA82:AA86" si="97">IFERROR(IF(Z82="","",IF(Z82&lt;=0.2,"Muy Baja",IF(Z82&lt;=0.4,"Baja",IF(Z82&lt;=0.6,"Media",IF(Z82&lt;=0.8,"Alta","Muy Alta"))))),"")</f>
        <v/>
      </c>
      <c r="AB82" s="117" t="str">
        <f t="shared" ref="AB82:AB86" si="98">+Z82</f>
        <v/>
      </c>
      <c r="AC82" s="119" t="str">
        <f t="shared" ref="AC82:AC86" si="99">IFERROR(IF(AD82="","",IF(AD82&lt;=0.2,"Leve",IF(AD82&lt;=0.4,"Menor",IF(AD82&lt;=0.6,"Moderado",IF(AD82&lt;=0.8,"Mayor","Catastrófico"))))),"")</f>
        <v/>
      </c>
      <c r="AD82" s="117" t="str">
        <f>IFERROR(IF(AND(S81="Impacto",S82="Impacto"),(AD75-(+AD75*V82)),IF(S82="Impacto",($O$21-(+$O$21*V82)),IF(S82="Probabilidad",AD75,""))),"")</f>
        <v/>
      </c>
      <c r="AE82" s="120" t="str">
        <f t="shared" ref="AE82:AE83" si="100">IFERROR(IF(OR(AND(AA82="Muy Baja",AC82="Leve"),AND(AA82="Muy Baja",AC82="Menor"),AND(AA82="Baja",AC82="Leve")),"Bajo",IF(OR(AND(AA82="Muy baja",AC82="Moderado"),AND(AA82="Baja",AC82="Menor"),AND(AA82="Baja",AC82="Moderado"),AND(AA82="Media",AC82="Leve"),AND(AA82="Media",AC82="Menor"),AND(AA82="Media",AC82="Moderado"),AND(AA82="Alta",AC82="Leve"),AND(AA82="Alta",AC82="Menor")),"Moderado",IF(OR(AND(AA82="Muy Baja",AC82="Mayor"),AND(AA82="Baja",AC82="Mayor"),AND(AA82="Media",AC82="Mayor"),AND(AA82="Alta",AC82="Moderado"),AND(AA82="Alta",AC82="Mayor"),AND(AA82="Muy Alta",AC82="Leve"),AND(AA82="Muy Alta",AC82="Menor"),AND(AA82="Muy Alta",AC82="Moderado"),AND(AA82="Muy Alta",AC82="Mayor")),"Alto",IF(OR(AND(AA82="Muy Baja",AC82="Catastrófico"),AND(AA82="Baja",AC82="Catastrófico"),AND(AA82="Media",AC82="Catastrófico"),AND(AA82="Alta",AC82="Catastrófico"),AND(AA82="Muy Alta",AC82="Catastrófico")),"Extremo","")))),"")</f>
        <v/>
      </c>
      <c r="AF82" s="116"/>
      <c r="AG82" s="121"/>
      <c r="AH82" s="122"/>
      <c r="AI82" s="123"/>
      <c r="AJ82" s="123"/>
      <c r="AK82" s="121"/>
      <c r="AL82" s="122"/>
    </row>
    <row r="83" spans="1:38" x14ac:dyDescent="0.3">
      <c r="A83" s="211"/>
      <c r="B83" s="139"/>
      <c r="C83" s="139"/>
      <c r="D83" s="212"/>
      <c r="E83" s="204"/>
      <c r="F83" s="141"/>
      <c r="G83" s="212"/>
      <c r="H83" s="140"/>
      <c r="I83" s="213"/>
      <c r="J83" s="200"/>
      <c r="K83" s="201"/>
      <c r="L83" s="203"/>
      <c r="M83" s="201">
        <f t="shared" si="95"/>
        <v>0</v>
      </c>
      <c r="N83" s="200"/>
      <c r="O83" s="201"/>
      <c r="P83" s="202"/>
      <c r="Q83" s="113">
        <v>3</v>
      </c>
      <c r="R83" s="126"/>
      <c r="S83" s="115" t="str">
        <f>IF(OR(T83="Preventivo",T83="Detectivo"),"Probabilidad",IF(T83="Correctivo","Impacto",""))</f>
        <v/>
      </c>
      <c r="T83" s="116"/>
      <c r="U83" s="116"/>
      <c r="V83" s="117" t="str">
        <f t="shared" si="96"/>
        <v/>
      </c>
      <c r="W83" s="116"/>
      <c r="X83" s="116"/>
      <c r="Y83" s="116"/>
      <c r="Z83" s="118" t="str">
        <f>IFERROR(IF(AND(S82="Probabilidad",S83="Probabilidad"),(AB82-(+AB82*V83)),IF(AND(S82="Impacto",S83="Probabilidad"),(AB81-(+AB81*V83)),IF(S83="Impacto",AB82,""))),"")</f>
        <v/>
      </c>
      <c r="AA83" s="119" t="str">
        <f t="shared" si="97"/>
        <v/>
      </c>
      <c r="AB83" s="117" t="str">
        <f t="shared" si="98"/>
        <v/>
      </c>
      <c r="AC83" s="119" t="str">
        <f t="shared" si="99"/>
        <v/>
      </c>
      <c r="AD83" s="117" t="str">
        <f>IFERROR(IF(AND(S82="Impacto",S83="Impacto"),(AD82-(+AD82*V83)),IF(AND(S82="Probabilidad",S83="Impacto"),(AD81-(+AD81*V83)),IF(S83="Probabilidad",AD82,""))),"")</f>
        <v/>
      </c>
      <c r="AE83" s="120" t="str">
        <f t="shared" si="100"/>
        <v/>
      </c>
      <c r="AF83" s="116"/>
      <c r="AG83" s="121"/>
      <c r="AH83" s="122"/>
      <c r="AI83" s="123"/>
      <c r="AJ83" s="123"/>
      <c r="AK83" s="121"/>
      <c r="AL83" s="122"/>
    </row>
    <row r="84" spans="1:38" x14ac:dyDescent="0.3">
      <c r="A84" s="211"/>
      <c r="B84" s="139"/>
      <c r="C84" s="139"/>
      <c r="D84" s="212"/>
      <c r="E84" s="204"/>
      <c r="F84" s="141"/>
      <c r="G84" s="212"/>
      <c r="H84" s="140"/>
      <c r="I84" s="213"/>
      <c r="J84" s="200"/>
      <c r="K84" s="201"/>
      <c r="L84" s="203"/>
      <c r="M84" s="201">
        <f t="shared" si="95"/>
        <v>0</v>
      </c>
      <c r="N84" s="200"/>
      <c r="O84" s="201"/>
      <c r="P84" s="202"/>
      <c r="Q84" s="113">
        <v>4</v>
      </c>
      <c r="R84" s="114"/>
      <c r="S84" s="115" t="str">
        <f t="shared" ref="S84:S86" si="101">IF(OR(T84="Preventivo",T84="Detectivo"),"Probabilidad",IF(T84="Correctivo","Impacto",""))</f>
        <v/>
      </c>
      <c r="T84" s="116"/>
      <c r="U84" s="116"/>
      <c r="V84" s="117" t="str">
        <f t="shared" si="96"/>
        <v/>
      </c>
      <c r="W84" s="116"/>
      <c r="X84" s="116"/>
      <c r="Y84" s="116"/>
      <c r="Z84" s="118" t="str">
        <f t="shared" ref="Z84:Z86" si="102">IFERROR(IF(AND(S83="Probabilidad",S84="Probabilidad"),(AB83-(+AB83*V84)),IF(AND(S83="Impacto",S84="Probabilidad"),(AB82-(+AB82*V84)),IF(S84="Impacto",AB83,""))),"")</f>
        <v/>
      </c>
      <c r="AA84" s="119" t="str">
        <f t="shared" si="97"/>
        <v/>
      </c>
      <c r="AB84" s="117" t="str">
        <f t="shared" si="98"/>
        <v/>
      </c>
      <c r="AC84" s="119" t="str">
        <f t="shared" si="99"/>
        <v/>
      </c>
      <c r="AD84" s="117" t="str">
        <f t="shared" ref="AD84:AD86" si="103">IFERROR(IF(AND(S83="Impacto",S84="Impacto"),(AD83-(+AD83*V84)),IF(AND(S83="Probabilidad",S84="Impacto"),(AD82-(+AD82*V84)),IF(S84="Probabilidad",AD83,""))),"")</f>
        <v/>
      </c>
      <c r="AE84" s="120" t="str">
        <f>IFERROR(IF(OR(AND(AA84="Muy Baja",AC84="Leve"),AND(AA84="Muy Baja",AC84="Menor"),AND(AA84="Baja",AC84="Leve")),"Bajo",IF(OR(AND(AA84="Muy baja",AC84="Moderado"),AND(AA84="Baja",AC84="Menor"),AND(AA84="Baja",AC84="Moderado"),AND(AA84="Media",AC84="Leve"),AND(AA84="Media",AC84="Menor"),AND(AA84="Media",AC84="Moderado"),AND(AA84="Alta",AC84="Leve"),AND(AA84="Alta",AC84="Menor")),"Moderado",IF(OR(AND(AA84="Muy Baja",AC84="Mayor"),AND(AA84="Baja",AC84="Mayor"),AND(AA84="Media",AC84="Mayor"),AND(AA84="Alta",AC84="Moderado"),AND(AA84="Alta",AC84="Mayor"),AND(AA84="Muy Alta",AC84="Leve"),AND(AA84="Muy Alta",AC84="Menor"),AND(AA84="Muy Alta",AC84="Moderado"),AND(AA84="Muy Alta",AC84="Mayor")),"Alto",IF(OR(AND(AA84="Muy Baja",AC84="Catastrófico"),AND(AA84="Baja",AC84="Catastrófico"),AND(AA84="Media",AC84="Catastrófico"),AND(AA84="Alta",AC84="Catastrófico"),AND(AA84="Muy Alta",AC84="Catastrófico")),"Extremo","")))),"")</f>
        <v/>
      </c>
      <c r="AF84" s="116"/>
      <c r="AG84" s="121"/>
      <c r="AH84" s="122"/>
      <c r="AI84" s="123"/>
      <c r="AJ84" s="123"/>
      <c r="AK84" s="121"/>
      <c r="AL84" s="122"/>
    </row>
    <row r="85" spans="1:38" x14ac:dyDescent="0.3">
      <c r="A85" s="211"/>
      <c r="B85" s="139"/>
      <c r="C85" s="139"/>
      <c r="D85" s="212"/>
      <c r="E85" s="204"/>
      <c r="F85" s="141"/>
      <c r="G85" s="212"/>
      <c r="H85" s="140"/>
      <c r="I85" s="213"/>
      <c r="J85" s="200"/>
      <c r="K85" s="201"/>
      <c r="L85" s="203"/>
      <c r="M85" s="201">
        <f t="shared" si="95"/>
        <v>0</v>
      </c>
      <c r="N85" s="200"/>
      <c r="O85" s="201"/>
      <c r="P85" s="202"/>
      <c r="Q85" s="113">
        <v>5</v>
      </c>
      <c r="R85" s="114"/>
      <c r="S85" s="115" t="str">
        <f t="shared" si="101"/>
        <v/>
      </c>
      <c r="T85" s="116"/>
      <c r="U85" s="116"/>
      <c r="V85" s="117" t="str">
        <f t="shared" si="96"/>
        <v/>
      </c>
      <c r="W85" s="116"/>
      <c r="X85" s="116"/>
      <c r="Y85" s="116"/>
      <c r="Z85" s="118" t="str">
        <f t="shared" si="102"/>
        <v/>
      </c>
      <c r="AA85" s="119" t="str">
        <f t="shared" si="97"/>
        <v/>
      </c>
      <c r="AB85" s="117" t="str">
        <f t="shared" si="98"/>
        <v/>
      </c>
      <c r="AC85" s="119" t="str">
        <f t="shared" si="99"/>
        <v/>
      </c>
      <c r="AD85" s="117" t="str">
        <f t="shared" si="103"/>
        <v/>
      </c>
      <c r="AE85" s="120" t="str">
        <f t="shared" ref="AE85:AE86" si="104">IFERROR(IF(OR(AND(AA85="Muy Baja",AC85="Leve"),AND(AA85="Muy Baja",AC85="Menor"),AND(AA85="Baja",AC85="Leve")),"Bajo",IF(OR(AND(AA85="Muy baja",AC85="Moderado"),AND(AA85="Baja",AC85="Menor"),AND(AA85="Baja",AC85="Moderado"),AND(AA85="Media",AC85="Leve"),AND(AA85="Media",AC85="Menor"),AND(AA85="Media",AC85="Moderado"),AND(AA85="Alta",AC85="Leve"),AND(AA85="Alta",AC85="Menor")),"Moderado",IF(OR(AND(AA85="Muy Baja",AC85="Mayor"),AND(AA85="Baja",AC85="Mayor"),AND(AA85="Media",AC85="Mayor"),AND(AA85="Alta",AC85="Moderado"),AND(AA85="Alta",AC85="Mayor"),AND(AA85="Muy Alta",AC85="Leve"),AND(AA85="Muy Alta",AC85="Menor"),AND(AA85="Muy Alta",AC85="Moderado"),AND(AA85="Muy Alta",AC85="Mayor")),"Alto",IF(OR(AND(AA85="Muy Baja",AC85="Catastrófico"),AND(AA85="Baja",AC85="Catastrófico"),AND(AA85="Media",AC85="Catastrófico"),AND(AA85="Alta",AC85="Catastrófico"),AND(AA85="Muy Alta",AC85="Catastrófico")),"Extremo","")))),"")</f>
        <v/>
      </c>
      <c r="AF85" s="116"/>
      <c r="AG85" s="121"/>
      <c r="AH85" s="122"/>
      <c r="AI85" s="123"/>
      <c r="AJ85" s="123"/>
      <c r="AK85" s="121"/>
      <c r="AL85" s="122"/>
    </row>
    <row r="86" spans="1:38" x14ac:dyDescent="0.3">
      <c r="A86" s="211"/>
      <c r="B86" s="139"/>
      <c r="C86" s="139"/>
      <c r="D86" s="212"/>
      <c r="E86" s="204"/>
      <c r="F86" s="141"/>
      <c r="G86" s="212"/>
      <c r="H86" s="140"/>
      <c r="I86" s="213"/>
      <c r="J86" s="200"/>
      <c r="K86" s="201"/>
      <c r="L86" s="203"/>
      <c r="M86" s="201">
        <f t="shared" si="95"/>
        <v>0</v>
      </c>
      <c r="N86" s="200"/>
      <c r="O86" s="201"/>
      <c r="P86" s="202"/>
      <c r="Q86" s="113">
        <v>6</v>
      </c>
      <c r="R86" s="114"/>
      <c r="S86" s="115" t="str">
        <f t="shared" si="101"/>
        <v/>
      </c>
      <c r="T86" s="116"/>
      <c r="U86" s="116"/>
      <c r="V86" s="117" t="str">
        <f t="shared" si="96"/>
        <v/>
      </c>
      <c r="W86" s="116"/>
      <c r="X86" s="116"/>
      <c r="Y86" s="116"/>
      <c r="Z86" s="118" t="str">
        <f t="shared" si="102"/>
        <v/>
      </c>
      <c r="AA86" s="119" t="str">
        <f t="shared" si="97"/>
        <v/>
      </c>
      <c r="AB86" s="117" t="str">
        <f t="shared" si="98"/>
        <v/>
      </c>
      <c r="AC86" s="119" t="str">
        <f t="shared" si="99"/>
        <v/>
      </c>
      <c r="AD86" s="117" t="str">
        <f t="shared" si="103"/>
        <v/>
      </c>
      <c r="AE86" s="120" t="str">
        <f t="shared" si="104"/>
        <v/>
      </c>
      <c r="AF86" s="116"/>
      <c r="AG86" s="121"/>
      <c r="AH86" s="122"/>
      <c r="AI86" s="123"/>
      <c r="AJ86" s="123"/>
      <c r="AK86" s="121"/>
      <c r="AL86" s="122"/>
    </row>
    <row r="87" spans="1:38" x14ac:dyDescent="0.3">
      <c r="A87" s="211">
        <v>4</v>
      </c>
      <c r="B87" s="139"/>
      <c r="C87" s="139"/>
      <c r="D87" s="212"/>
      <c r="E87" s="204"/>
      <c r="F87" s="141"/>
      <c r="G87" s="212"/>
      <c r="H87" s="140"/>
      <c r="I87" s="213"/>
      <c r="J87" s="200" t="str">
        <f>IF(I87&lt;=0,"",IF(I87&lt;=2,"Muy Baja",IF(I87&lt;=24,"Baja",IF(I87&lt;=500,"Media",IF(I87&lt;=5000,"Alta","Muy Alta")))))</f>
        <v/>
      </c>
      <c r="K87" s="201" t="str">
        <f>IF(J87="","",IF(J87="Muy Baja",0.2,IF(J87="Baja",0.4,IF(J87="Media",0.6,IF(J87="Alta",0.8,IF(J87="Muy Alta",1,))))))</f>
        <v/>
      </c>
      <c r="L87" s="203"/>
      <c r="M87" s="201">
        <f>IF(NOT(ISERROR(MATCH(L87,'Tabla Impacto'!$B$221:$B$223,0))),'Tabla Impacto'!$F$223&amp;"Por favor no seleccionar los criterios de impacto(Afectación Económica o presupuestal y Pérdida Reputacional)",L87)</f>
        <v>0</v>
      </c>
      <c r="N87" s="200" t="str">
        <f>IF(OR(M87='Tabla Impacto'!$C$11,M87='Tabla Impacto'!$D$11),"Leve",IF(OR(M87='Tabla Impacto'!$C$12,M87='Tabla Impacto'!$D$12),"Menor",IF(OR(M87='Tabla Impacto'!$C$13,M87='Tabla Impacto'!$D$13),"Moderado",IF(OR(M87='Tabla Impacto'!$C$14,M87='Tabla Impacto'!$D$14),"Mayor",IF(OR(M87='Tabla Impacto'!$C$15,M87='Tabla Impacto'!$D$15),"Catastrófico","")))))</f>
        <v/>
      </c>
      <c r="O87" s="201" t="str">
        <f>IF(N87="","",IF(N87="Leve",0.2,IF(N87="Menor",0.4,IF(N87="Moderado",0.6,IF(N87="Mayor",0.8,IF(N87="Catastrófico",1,))))))</f>
        <v/>
      </c>
      <c r="P87" s="202" t="str">
        <f>IF(OR(AND(J87="Muy Baja",N87="Leve"),AND(J87="Muy Baja",N87="Menor"),AND(J87="Baja",N87="Leve")),"Bajo",IF(OR(AND(J87="Muy baja",N87="Moderado"),AND(J87="Baja",N87="Menor"),AND(J87="Baja",N87="Moderado"),AND(J87="Media",N87="Leve"),AND(J87="Media",N87="Menor"),AND(J87="Media",N87="Moderado"),AND(J87="Alta",N87="Leve"),AND(J87="Alta",N87="Menor")),"Moderado",IF(OR(AND(J87="Muy Baja",N87="Mayor"),AND(J87="Baja",N87="Mayor"),AND(J87="Media",N87="Mayor"),AND(J87="Alta",N87="Moderado"),AND(J87="Alta",N87="Mayor"),AND(J87="Muy Alta",N87="Leve"),AND(J87="Muy Alta",N87="Menor"),AND(J87="Muy Alta",N87="Moderado"),AND(J87="Muy Alta",N87="Mayor")),"Alto",IF(OR(AND(J87="Muy Baja",N87="Catastrófico"),AND(J87="Baja",N87="Catastrófico"),AND(J87="Media",N87="Catastrófico"),AND(J87="Alta",N87="Catastrófico"),AND(J87="Muy Alta",N87="Catastrófico")),"Extremo",""))))</f>
        <v/>
      </c>
      <c r="Q87" s="113">
        <v>1</v>
      </c>
      <c r="R87" s="114"/>
      <c r="S87" s="115" t="str">
        <f>IF(OR(T87="Preventivo",T87="Detectivo"),"Probabilidad",IF(T87="Correctivo","Impacto",""))</f>
        <v/>
      </c>
      <c r="T87" s="116"/>
      <c r="U87" s="116"/>
      <c r="V87" s="117" t="str">
        <f>IF(AND(T87="Preventivo",U87="Automático"),"50%",IF(AND(T87="Preventivo",U87="Manual"),"40%",IF(AND(T87="Detectivo",U87="Automático"),"40%",IF(AND(T87="Detectivo",U87="Manual"),"30%",IF(AND(T87="Correctivo",U87="Automático"),"35%",IF(AND(T87="Correctivo",U87="Manual"),"25%",""))))))</f>
        <v/>
      </c>
      <c r="W87" s="116"/>
      <c r="X87" s="116"/>
      <c r="Y87" s="116"/>
      <c r="Z87" s="118" t="str">
        <f>IFERROR(IF(S87="Probabilidad",(K87-(+K87*V87)),IF(S87="Impacto",K87,"")),"")</f>
        <v/>
      </c>
      <c r="AA87" s="119" t="str">
        <f>IFERROR(IF(Z87="","",IF(Z87&lt;=0.2,"Muy Baja",IF(Z87&lt;=0.4,"Baja",IF(Z87&lt;=0.6,"Media",IF(Z87&lt;=0.8,"Alta","Muy Alta"))))),"")</f>
        <v/>
      </c>
      <c r="AB87" s="117" t="str">
        <f>+Z87</f>
        <v/>
      </c>
      <c r="AC87" s="119" t="str">
        <f>IFERROR(IF(AD87="","",IF(AD87&lt;=0.2,"Leve",IF(AD87&lt;=0.4,"Menor",IF(AD87&lt;=0.6,"Moderado",IF(AD87&lt;=0.8,"Mayor","Catastrófico"))))),"")</f>
        <v/>
      </c>
      <c r="AD87" s="117" t="str">
        <f>IFERROR(IF(S87="Impacto",(O87-(+O87*V87)),IF(S87="Probabilidad",O87,"")),"")</f>
        <v/>
      </c>
      <c r="AE87" s="120" t="str">
        <f>IFERROR(IF(OR(AND(AA87="Muy Baja",AC87="Leve"),AND(AA87="Muy Baja",AC87="Menor"),AND(AA87="Baja",AC87="Leve")),"Bajo",IF(OR(AND(AA87="Muy baja",AC87="Moderado"),AND(AA87="Baja",AC87="Menor"),AND(AA87="Baja",AC87="Moderado"),AND(AA87="Media",AC87="Leve"),AND(AA87="Media",AC87="Menor"),AND(AA87="Media",AC87="Moderado"),AND(AA87="Alta",AC87="Leve"),AND(AA87="Alta",AC87="Menor")),"Moderado",IF(OR(AND(AA87="Muy Baja",AC87="Mayor"),AND(AA87="Baja",AC87="Mayor"),AND(AA87="Media",AC87="Mayor"),AND(AA87="Alta",AC87="Moderado"),AND(AA87="Alta",AC87="Mayor"),AND(AA87="Muy Alta",AC87="Leve"),AND(AA87="Muy Alta",AC87="Menor"),AND(AA87="Muy Alta",AC87="Moderado"),AND(AA87="Muy Alta",AC87="Mayor")),"Alto",IF(OR(AND(AA87="Muy Baja",AC87="Catastrófico"),AND(AA87="Baja",AC87="Catastrófico"),AND(AA87="Media",AC87="Catastrófico"),AND(AA87="Alta",AC87="Catastrófico"),AND(AA87="Muy Alta",AC87="Catastrófico")),"Extremo","")))),"")</f>
        <v/>
      </c>
      <c r="AF87" s="116"/>
      <c r="AG87" s="121"/>
      <c r="AH87" s="122"/>
      <c r="AI87" s="123"/>
      <c r="AJ87" s="123"/>
      <c r="AK87" s="121"/>
      <c r="AL87" s="122"/>
    </row>
    <row r="88" spans="1:38" x14ac:dyDescent="0.3">
      <c r="A88" s="211"/>
      <c r="B88" s="139"/>
      <c r="C88" s="139"/>
      <c r="D88" s="212"/>
      <c r="E88" s="204"/>
      <c r="F88" s="141"/>
      <c r="G88" s="212"/>
      <c r="H88" s="140"/>
      <c r="I88" s="213"/>
      <c r="J88" s="200"/>
      <c r="K88" s="201"/>
      <c r="L88" s="203"/>
      <c r="M88" s="201">
        <f t="shared" ref="M88:M92" si="105">IF(NOT(ISERROR(MATCH(L88,_xlfn.ANCHORARRAY(E99),0))),K101&amp;"Por favor no seleccionar los criterios de impacto",L88)</f>
        <v>0</v>
      </c>
      <c r="N88" s="200"/>
      <c r="O88" s="201"/>
      <c r="P88" s="202"/>
      <c r="Q88" s="113">
        <v>2</v>
      </c>
      <c r="R88" s="114"/>
      <c r="S88" s="115" t="str">
        <f>IF(OR(T88="Preventivo",T88="Detectivo"),"Probabilidad",IF(T88="Correctivo","Impacto",""))</f>
        <v/>
      </c>
      <c r="T88" s="116"/>
      <c r="U88" s="116"/>
      <c r="V88" s="117" t="str">
        <f t="shared" ref="V88:V92" si="106">IF(AND(T88="Preventivo",U88="Automático"),"50%",IF(AND(T88="Preventivo",U88="Manual"),"40%",IF(AND(T88="Detectivo",U88="Automático"),"40%",IF(AND(T88="Detectivo",U88="Manual"),"30%",IF(AND(T88="Correctivo",U88="Automático"),"35%",IF(AND(T88="Correctivo",U88="Manual"),"25%",""))))))</f>
        <v/>
      </c>
      <c r="W88" s="116"/>
      <c r="X88" s="116"/>
      <c r="Y88" s="116"/>
      <c r="Z88" s="118" t="str">
        <f>IFERROR(IF(AND(S87="Probabilidad",S88="Probabilidad"),(AB87-(+AB87*V88)),IF(S88="Probabilidad",(K87-(+K87*V88)),IF(S88="Impacto",AB87,""))),"")</f>
        <v/>
      </c>
      <c r="AA88" s="119" t="str">
        <f t="shared" ref="AA88:AA90" si="107">IFERROR(IF(Z88="","",IF(Z88&lt;=0.2,"Muy Baja",IF(Z88&lt;=0.4,"Baja",IF(Z88&lt;=0.6,"Media",IF(Z88&lt;=0.8,"Alta","Muy Alta"))))),"")</f>
        <v/>
      </c>
      <c r="AB88" s="117" t="str">
        <f t="shared" ref="AB88:AB92" si="108">+Z88</f>
        <v/>
      </c>
      <c r="AC88" s="119" t="str">
        <f t="shared" ref="AC88:AC92" si="109">IFERROR(IF(AD88="","",IF(AD88&lt;=0.2,"Leve",IF(AD88&lt;=0.4,"Menor",IF(AD88&lt;=0.6,"Moderado",IF(AD88&lt;=0.8,"Mayor","Catastrófico"))))),"")</f>
        <v/>
      </c>
      <c r="AD88" s="117" t="str">
        <f>IFERROR(IF(AND(S87="Impacto",S88="Impacto"),(AD81-(+AD81*V88)),IF(S88="Impacto",($O$27-(+$O$27*V88)),IF(S88="Probabilidad",AD81,""))),"")</f>
        <v/>
      </c>
      <c r="AE88" s="120" t="str">
        <f t="shared" ref="AE88:AE89" si="110">IFERROR(IF(OR(AND(AA88="Muy Baja",AC88="Leve"),AND(AA88="Muy Baja",AC88="Menor"),AND(AA88="Baja",AC88="Leve")),"Bajo",IF(OR(AND(AA88="Muy baja",AC88="Moderado"),AND(AA88="Baja",AC88="Menor"),AND(AA88="Baja",AC88="Moderado"),AND(AA88="Media",AC88="Leve"),AND(AA88="Media",AC88="Menor"),AND(AA88="Media",AC88="Moderado"),AND(AA88="Alta",AC88="Leve"),AND(AA88="Alta",AC88="Menor")),"Moderado",IF(OR(AND(AA88="Muy Baja",AC88="Mayor"),AND(AA88="Baja",AC88="Mayor"),AND(AA88="Media",AC88="Mayor"),AND(AA88="Alta",AC88="Moderado"),AND(AA88="Alta",AC88="Mayor"),AND(AA88="Muy Alta",AC88="Leve"),AND(AA88="Muy Alta",AC88="Menor"),AND(AA88="Muy Alta",AC88="Moderado"),AND(AA88="Muy Alta",AC88="Mayor")),"Alto",IF(OR(AND(AA88="Muy Baja",AC88="Catastrófico"),AND(AA88="Baja",AC88="Catastrófico"),AND(AA88="Media",AC88="Catastrófico"),AND(AA88="Alta",AC88="Catastrófico"),AND(AA88="Muy Alta",AC88="Catastrófico")),"Extremo","")))),"")</f>
        <v/>
      </c>
      <c r="AF88" s="116"/>
      <c r="AG88" s="121"/>
      <c r="AH88" s="122"/>
      <c r="AI88" s="123"/>
      <c r="AJ88" s="123"/>
      <c r="AK88" s="121"/>
      <c r="AL88" s="122"/>
    </row>
    <row r="89" spans="1:38" x14ac:dyDescent="0.3">
      <c r="A89" s="211"/>
      <c r="B89" s="139"/>
      <c r="C89" s="139"/>
      <c r="D89" s="212"/>
      <c r="E89" s="204"/>
      <c r="F89" s="141"/>
      <c r="G89" s="212"/>
      <c r="H89" s="140"/>
      <c r="I89" s="213"/>
      <c r="J89" s="200"/>
      <c r="K89" s="201"/>
      <c r="L89" s="203"/>
      <c r="M89" s="201">
        <f t="shared" si="105"/>
        <v>0</v>
      </c>
      <c r="N89" s="200"/>
      <c r="O89" s="201"/>
      <c r="P89" s="202"/>
      <c r="Q89" s="113">
        <v>3</v>
      </c>
      <c r="R89" s="126"/>
      <c r="S89" s="115" t="str">
        <f>IF(OR(T89="Preventivo",T89="Detectivo"),"Probabilidad",IF(T89="Correctivo","Impacto",""))</f>
        <v/>
      </c>
      <c r="T89" s="116"/>
      <c r="U89" s="116"/>
      <c r="V89" s="117" t="str">
        <f t="shared" si="106"/>
        <v/>
      </c>
      <c r="W89" s="116"/>
      <c r="X89" s="116"/>
      <c r="Y89" s="116"/>
      <c r="Z89" s="118" t="str">
        <f>IFERROR(IF(AND(S88="Probabilidad",S89="Probabilidad"),(AB88-(+AB88*V89)),IF(AND(S88="Impacto",S89="Probabilidad"),(AB87-(+AB87*V89)),IF(S89="Impacto",AB88,""))),"")</f>
        <v/>
      </c>
      <c r="AA89" s="119" t="str">
        <f t="shared" si="107"/>
        <v/>
      </c>
      <c r="AB89" s="117" t="str">
        <f t="shared" si="108"/>
        <v/>
      </c>
      <c r="AC89" s="119" t="str">
        <f t="shared" si="109"/>
        <v/>
      </c>
      <c r="AD89" s="117" t="str">
        <f>IFERROR(IF(AND(S88="Impacto",S89="Impacto"),(AD88-(+AD88*V89)),IF(AND(S88="Probabilidad",S89="Impacto"),(AD87-(+AD87*V89)),IF(S89="Probabilidad",AD88,""))),"")</f>
        <v/>
      </c>
      <c r="AE89" s="120" t="str">
        <f t="shared" si="110"/>
        <v/>
      </c>
      <c r="AF89" s="116"/>
      <c r="AG89" s="121"/>
      <c r="AH89" s="122"/>
      <c r="AI89" s="123"/>
      <c r="AJ89" s="123"/>
      <c r="AK89" s="121"/>
      <c r="AL89" s="122"/>
    </row>
    <row r="90" spans="1:38" x14ac:dyDescent="0.3">
      <c r="A90" s="211"/>
      <c r="B90" s="139"/>
      <c r="C90" s="139"/>
      <c r="D90" s="212"/>
      <c r="E90" s="204"/>
      <c r="F90" s="141"/>
      <c r="G90" s="212"/>
      <c r="H90" s="140"/>
      <c r="I90" s="213"/>
      <c r="J90" s="200"/>
      <c r="K90" s="201"/>
      <c r="L90" s="203"/>
      <c r="M90" s="201">
        <f t="shared" si="105"/>
        <v>0</v>
      </c>
      <c r="N90" s="200"/>
      <c r="O90" s="201"/>
      <c r="P90" s="202"/>
      <c r="Q90" s="113">
        <v>4</v>
      </c>
      <c r="R90" s="114"/>
      <c r="S90" s="115" t="str">
        <f t="shared" ref="S90:S92" si="111">IF(OR(T90="Preventivo",T90="Detectivo"),"Probabilidad",IF(T90="Correctivo","Impacto",""))</f>
        <v/>
      </c>
      <c r="T90" s="116"/>
      <c r="U90" s="116"/>
      <c r="V90" s="117" t="str">
        <f t="shared" si="106"/>
        <v/>
      </c>
      <c r="W90" s="116"/>
      <c r="X90" s="116"/>
      <c r="Y90" s="116"/>
      <c r="Z90" s="118" t="str">
        <f t="shared" ref="Z90:Z92" si="112">IFERROR(IF(AND(S89="Probabilidad",S90="Probabilidad"),(AB89-(+AB89*V90)),IF(AND(S89="Impacto",S90="Probabilidad"),(AB88-(+AB88*V90)),IF(S90="Impacto",AB89,""))),"")</f>
        <v/>
      </c>
      <c r="AA90" s="119" t="str">
        <f t="shared" si="107"/>
        <v/>
      </c>
      <c r="AB90" s="117" t="str">
        <f t="shared" si="108"/>
        <v/>
      </c>
      <c r="AC90" s="119" t="str">
        <f t="shared" si="109"/>
        <v/>
      </c>
      <c r="AD90" s="117" t="str">
        <f t="shared" ref="AD90:AD92" si="113">IFERROR(IF(AND(S89="Impacto",S90="Impacto"),(AD89-(+AD89*V90)),IF(AND(S89="Probabilidad",S90="Impacto"),(AD88-(+AD88*V90)),IF(S90="Probabilidad",AD89,""))),"")</f>
        <v/>
      </c>
      <c r="AE90" s="120" t="str">
        <f>IFERROR(IF(OR(AND(AA90="Muy Baja",AC90="Leve"),AND(AA90="Muy Baja",AC90="Menor"),AND(AA90="Baja",AC90="Leve")),"Bajo",IF(OR(AND(AA90="Muy baja",AC90="Moderado"),AND(AA90="Baja",AC90="Menor"),AND(AA90="Baja",AC90="Moderado"),AND(AA90="Media",AC90="Leve"),AND(AA90="Media",AC90="Menor"),AND(AA90="Media",AC90="Moderado"),AND(AA90="Alta",AC90="Leve"),AND(AA90="Alta",AC90="Menor")),"Moderado",IF(OR(AND(AA90="Muy Baja",AC90="Mayor"),AND(AA90="Baja",AC90="Mayor"),AND(AA90="Media",AC90="Mayor"),AND(AA90="Alta",AC90="Moderado"),AND(AA90="Alta",AC90="Mayor"),AND(AA90="Muy Alta",AC90="Leve"),AND(AA90="Muy Alta",AC90="Menor"),AND(AA90="Muy Alta",AC90="Moderado"),AND(AA90="Muy Alta",AC90="Mayor")),"Alto",IF(OR(AND(AA90="Muy Baja",AC90="Catastrófico"),AND(AA90="Baja",AC90="Catastrófico"),AND(AA90="Media",AC90="Catastrófico"),AND(AA90="Alta",AC90="Catastrófico"),AND(AA90="Muy Alta",AC90="Catastrófico")),"Extremo","")))),"")</f>
        <v/>
      </c>
      <c r="AF90" s="116"/>
      <c r="AG90" s="121"/>
      <c r="AH90" s="122"/>
      <c r="AI90" s="123"/>
      <c r="AJ90" s="123"/>
      <c r="AK90" s="121"/>
      <c r="AL90" s="122"/>
    </row>
    <row r="91" spans="1:38" x14ac:dyDescent="0.3">
      <c r="A91" s="211"/>
      <c r="B91" s="139"/>
      <c r="C91" s="139"/>
      <c r="D91" s="212"/>
      <c r="E91" s="204"/>
      <c r="F91" s="141"/>
      <c r="G91" s="212"/>
      <c r="H91" s="140"/>
      <c r="I91" s="213"/>
      <c r="J91" s="200"/>
      <c r="K91" s="201"/>
      <c r="L91" s="203"/>
      <c r="M91" s="201">
        <f t="shared" si="105"/>
        <v>0</v>
      </c>
      <c r="N91" s="200"/>
      <c r="O91" s="201"/>
      <c r="P91" s="202"/>
      <c r="Q91" s="113">
        <v>5</v>
      </c>
      <c r="R91" s="114"/>
      <c r="S91" s="115" t="str">
        <f t="shared" si="111"/>
        <v/>
      </c>
      <c r="T91" s="116"/>
      <c r="U91" s="116"/>
      <c r="V91" s="117" t="str">
        <f t="shared" si="106"/>
        <v/>
      </c>
      <c r="W91" s="116"/>
      <c r="X91" s="116"/>
      <c r="Y91" s="116"/>
      <c r="Z91" s="127" t="str">
        <f t="shared" si="112"/>
        <v/>
      </c>
      <c r="AA91" s="119" t="str">
        <f>IFERROR(IF(Z91="","",IF(Z91&lt;=0.2,"Muy Baja",IF(Z91&lt;=0.4,"Baja",IF(Z91&lt;=0.6,"Media",IF(Z91&lt;=0.8,"Alta","Muy Alta"))))),"")</f>
        <v/>
      </c>
      <c r="AB91" s="117" t="str">
        <f t="shared" si="108"/>
        <v/>
      </c>
      <c r="AC91" s="119" t="str">
        <f t="shared" si="109"/>
        <v/>
      </c>
      <c r="AD91" s="117" t="str">
        <f t="shared" si="113"/>
        <v/>
      </c>
      <c r="AE91" s="120" t="str">
        <f t="shared" ref="AE91:AE92" si="114">IFERROR(IF(OR(AND(AA91="Muy Baja",AC91="Leve"),AND(AA91="Muy Baja",AC91="Menor"),AND(AA91="Baja",AC91="Leve")),"Bajo",IF(OR(AND(AA91="Muy baja",AC91="Moderado"),AND(AA91="Baja",AC91="Menor"),AND(AA91="Baja",AC91="Moderado"),AND(AA91="Media",AC91="Leve"),AND(AA91="Media",AC91="Menor"),AND(AA91="Media",AC91="Moderado"),AND(AA91="Alta",AC91="Leve"),AND(AA91="Alta",AC91="Menor")),"Moderado",IF(OR(AND(AA91="Muy Baja",AC91="Mayor"),AND(AA91="Baja",AC91="Mayor"),AND(AA91="Media",AC91="Mayor"),AND(AA91="Alta",AC91="Moderado"),AND(AA91="Alta",AC91="Mayor"),AND(AA91="Muy Alta",AC91="Leve"),AND(AA91="Muy Alta",AC91="Menor"),AND(AA91="Muy Alta",AC91="Moderado"),AND(AA91="Muy Alta",AC91="Mayor")),"Alto",IF(OR(AND(AA91="Muy Baja",AC91="Catastrófico"),AND(AA91="Baja",AC91="Catastrófico"),AND(AA91="Media",AC91="Catastrófico"),AND(AA91="Alta",AC91="Catastrófico"),AND(AA91="Muy Alta",AC91="Catastrófico")),"Extremo","")))),"")</f>
        <v/>
      </c>
      <c r="AF91" s="116"/>
      <c r="AG91" s="121"/>
      <c r="AH91" s="122"/>
      <c r="AI91" s="123"/>
      <c r="AJ91" s="123"/>
      <c r="AK91" s="121"/>
      <c r="AL91" s="122"/>
    </row>
    <row r="92" spans="1:38" x14ac:dyDescent="0.3">
      <c r="A92" s="211"/>
      <c r="B92" s="139"/>
      <c r="C92" s="139"/>
      <c r="D92" s="212"/>
      <c r="E92" s="204"/>
      <c r="F92" s="141"/>
      <c r="G92" s="212"/>
      <c r="H92" s="140"/>
      <c r="I92" s="213"/>
      <c r="J92" s="200"/>
      <c r="K92" s="201"/>
      <c r="L92" s="203"/>
      <c r="M92" s="201">
        <f t="shared" si="105"/>
        <v>0</v>
      </c>
      <c r="N92" s="200"/>
      <c r="O92" s="201"/>
      <c r="P92" s="202"/>
      <c r="Q92" s="113">
        <v>6</v>
      </c>
      <c r="R92" s="114"/>
      <c r="S92" s="115" t="str">
        <f t="shared" si="111"/>
        <v/>
      </c>
      <c r="T92" s="116"/>
      <c r="U92" s="116"/>
      <c r="V92" s="117" t="str">
        <f t="shared" si="106"/>
        <v/>
      </c>
      <c r="W92" s="116"/>
      <c r="X92" s="116"/>
      <c r="Y92" s="116"/>
      <c r="Z92" s="118" t="str">
        <f t="shared" si="112"/>
        <v/>
      </c>
      <c r="AA92" s="119" t="str">
        <f t="shared" ref="AA92" si="115">IFERROR(IF(Z92="","",IF(Z92&lt;=0.2,"Muy Baja",IF(Z92&lt;=0.4,"Baja",IF(Z92&lt;=0.6,"Media",IF(Z92&lt;=0.8,"Alta","Muy Alta"))))),"")</f>
        <v/>
      </c>
      <c r="AB92" s="117" t="str">
        <f t="shared" si="108"/>
        <v/>
      </c>
      <c r="AC92" s="119" t="str">
        <f t="shared" si="109"/>
        <v/>
      </c>
      <c r="AD92" s="117" t="str">
        <f t="shared" si="113"/>
        <v/>
      </c>
      <c r="AE92" s="120" t="str">
        <f t="shared" si="114"/>
        <v/>
      </c>
      <c r="AF92" s="116"/>
      <c r="AG92" s="121"/>
      <c r="AH92" s="122"/>
      <c r="AI92" s="123"/>
      <c r="AJ92" s="123"/>
      <c r="AK92" s="121"/>
      <c r="AL92" s="122"/>
    </row>
    <row r="93" spans="1:38" x14ac:dyDescent="0.3">
      <c r="A93" s="211">
        <v>5</v>
      </c>
      <c r="B93" s="139"/>
      <c r="C93" s="139"/>
      <c r="D93" s="212"/>
      <c r="E93" s="204"/>
      <c r="F93" s="141"/>
      <c r="G93" s="212"/>
      <c r="H93" s="140"/>
      <c r="I93" s="213"/>
      <c r="J93" s="200" t="str">
        <f>IF(I93&lt;=0,"",IF(I93&lt;=2,"Muy Baja",IF(I93&lt;=24,"Baja",IF(I93&lt;=500,"Media",IF(I93&lt;=5000,"Alta","Muy Alta")))))</f>
        <v/>
      </c>
      <c r="K93" s="201" t="str">
        <f>IF(J93="","",IF(J93="Muy Baja",0.2,IF(J93="Baja",0.4,IF(J93="Media",0.6,IF(J93="Alta",0.8,IF(J93="Muy Alta",1,))))))</f>
        <v/>
      </c>
      <c r="L93" s="203"/>
      <c r="M93" s="201">
        <f>IF(NOT(ISERROR(MATCH(L93,'Tabla Impacto'!$B$221:$B$223,0))),'Tabla Impacto'!$F$223&amp;"Por favor no seleccionar los criterios de impacto(Afectación Económica o presupuestal y Pérdida Reputacional)",L93)</f>
        <v>0</v>
      </c>
      <c r="N93" s="200" t="str">
        <f>IF(OR(M93='Tabla Impacto'!$C$11,M93='Tabla Impacto'!$D$11),"Leve",IF(OR(M93='Tabla Impacto'!$C$12,M93='Tabla Impacto'!$D$12),"Menor",IF(OR(M93='Tabla Impacto'!$C$13,M93='Tabla Impacto'!$D$13),"Moderado",IF(OR(M93='Tabla Impacto'!$C$14,M93='Tabla Impacto'!$D$14),"Mayor",IF(OR(M93='Tabla Impacto'!$C$15,M93='Tabla Impacto'!$D$15),"Catastrófico","")))))</f>
        <v/>
      </c>
      <c r="O93" s="201" t="str">
        <f>IF(N93="","",IF(N93="Leve",0.2,IF(N93="Menor",0.4,IF(N93="Moderado",0.6,IF(N93="Mayor",0.8,IF(N93="Catastrófico",1,))))))</f>
        <v/>
      </c>
      <c r="P93" s="202" t="str">
        <f>IF(OR(AND(J93="Muy Baja",N93="Leve"),AND(J93="Muy Baja",N93="Menor"),AND(J93="Baja",N93="Leve")),"Bajo",IF(OR(AND(J93="Muy baja",N93="Moderado"),AND(J93="Baja",N93="Menor"),AND(J93="Baja",N93="Moderado"),AND(J93="Media",N93="Leve"),AND(J93="Media",N93="Menor"),AND(J93="Media",N93="Moderado"),AND(J93="Alta",N93="Leve"),AND(J93="Alta",N93="Menor")),"Moderado",IF(OR(AND(J93="Muy Baja",N93="Mayor"),AND(J93="Baja",N93="Mayor"),AND(J93="Media",N93="Mayor"),AND(J93="Alta",N93="Moderado"),AND(J93="Alta",N93="Mayor"),AND(J93="Muy Alta",N93="Leve"),AND(J93="Muy Alta",N93="Menor"),AND(J93="Muy Alta",N93="Moderado"),AND(J93="Muy Alta",N93="Mayor")),"Alto",IF(OR(AND(J93="Muy Baja",N93="Catastrófico"),AND(J93="Baja",N93="Catastrófico"),AND(J93="Media",N93="Catastrófico"),AND(J93="Alta",N93="Catastrófico"),AND(J93="Muy Alta",N93="Catastrófico")),"Extremo",""))))</f>
        <v/>
      </c>
      <c r="Q93" s="113">
        <v>1</v>
      </c>
      <c r="R93" s="114"/>
      <c r="S93" s="115" t="str">
        <f>IF(OR(T93="Preventivo",T93="Detectivo"),"Probabilidad",IF(T93="Correctivo","Impacto",""))</f>
        <v/>
      </c>
      <c r="T93" s="116"/>
      <c r="U93" s="116"/>
      <c r="V93" s="117" t="str">
        <f>IF(AND(T93="Preventivo",U93="Automático"),"50%",IF(AND(T93="Preventivo",U93="Manual"),"40%",IF(AND(T93="Detectivo",U93="Automático"),"40%",IF(AND(T93="Detectivo",U93="Manual"),"30%",IF(AND(T93="Correctivo",U93="Automático"),"35%",IF(AND(T93="Correctivo",U93="Manual"),"25%",""))))))</f>
        <v/>
      </c>
      <c r="W93" s="116"/>
      <c r="X93" s="116"/>
      <c r="Y93" s="116"/>
      <c r="Z93" s="118" t="str">
        <f>IFERROR(IF(S93="Probabilidad",(K93-(+K93*V93)),IF(S93="Impacto",K93,"")),"")</f>
        <v/>
      </c>
      <c r="AA93" s="119" t="str">
        <f>IFERROR(IF(Z93="","",IF(Z93&lt;=0.2,"Muy Baja",IF(Z93&lt;=0.4,"Baja",IF(Z93&lt;=0.6,"Media",IF(Z93&lt;=0.8,"Alta","Muy Alta"))))),"")</f>
        <v/>
      </c>
      <c r="AB93" s="117" t="str">
        <f>+Z93</f>
        <v/>
      </c>
      <c r="AC93" s="119" t="str">
        <f>IFERROR(IF(AD93="","",IF(AD93&lt;=0.2,"Leve",IF(AD93&lt;=0.4,"Menor",IF(AD93&lt;=0.6,"Moderado",IF(AD93&lt;=0.8,"Mayor","Catastrófico"))))),"")</f>
        <v/>
      </c>
      <c r="AD93" s="117" t="str">
        <f>IFERROR(IF(S93="Impacto",(O93-(+O93*V93)),IF(S93="Probabilidad",O93,"")),"")</f>
        <v/>
      </c>
      <c r="AE93" s="120" t="str">
        <f>IFERROR(IF(OR(AND(AA93="Muy Baja",AC93="Leve"),AND(AA93="Muy Baja",AC93="Menor"),AND(AA93="Baja",AC93="Leve")),"Bajo",IF(OR(AND(AA93="Muy baja",AC93="Moderado"),AND(AA93="Baja",AC93="Menor"),AND(AA93="Baja",AC93="Moderado"),AND(AA93="Media",AC93="Leve"),AND(AA93="Media",AC93="Menor"),AND(AA93="Media",AC93="Moderado"),AND(AA93="Alta",AC93="Leve"),AND(AA93="Alta",AC93="Menor")),"Moderado",IF(OR(AND(AA93="Muy Baja",AC93="Mayor"),AND(AA93="Baja",AC93="Mayor"),AND(AA93="Media",AC93="Mayor"),AND(AA93="Alta",AC93="Moderado"),AND(AA93="Alta",AC93="Mayor"),AND(AA93="Muy Alta",AC93="Leve"),AND(AA93="Muy Alta",AC93="Menor"),AND(AA93="Muy Alta",AC93="Moderado"),AND(AA93="Muy Alta",AC93="Mayor")),"Alto",IF(OR(AND(AA93="Muy Baja",AC93="Catastrófico"),AND(AA93="Baja",AC93="Catastrófico"),AND(AA93="Media",AC93="Catastrófico"),AND(AA93="Alta",AC93="Catastrófico"),AND(AA93="Muy Alta",AC93="Catastrófico")),"Extremo","")))),"")</f>
        <v/>
      </c>
      <c r="AF93" s="116"/>
      <c r="AG93" s="121"/>
      <c r="AH93" s="122"/>
      <c r="AI93" s="123"/>
      <c r="AJ93" s="123"/>
      <c r="AK93" s="121"/>
      <c r="AL93" s="122"/>
    </row>
    <row r="94" spans="1:38" x14ac:dyDescent="0.3">
      <c r="A94" s="211"/>
      <c r="B94" s="139"/>
      <c r="C94" s="139"/>
      <c r="D94" s="212"/>
      <c r="E94" s="204"/>
      <c r="F94" s="141"/>
      <c r="G94" s="212"/>
      <c r="H94" s="140"/>
      <c r="I94" s="213"/>
      <c r="J94" s="200"/>
      <c r="K94" s="201"/>
      <c r="L94" s="203"/>
      <c r="M94" s="201">
        <f t="shared" ref="M94:M98" si="116">IF(NOT(ISERROR(MATCH(L94,_xlfn.ANCHORARRAY(E105),0))),K107&amp;"Por favor no seleccionar los criterios de impacto",L94)</f>
        <v>0</v>
      </c>
      <c r="N94" s="200"/>
      <c r="O94" s="201"/>
      <c r="P94" s="202"/>
      <c r="Q94" s="113">
        <v>2</v>
      </c>
      <c r="R94" s="114"/>
      <c r="S94" s="115" t="str">
        <f>IF(OR(T94="Preventivo",T94="Detectivo"),"Probabilidad",IF(T94="Correctivo","Impacto",""))</f>
        <v/>
      </c>
      <c r="T94" s="116"/>
      <c r="U94" s="116"/>
      <c r="V94" s="117" t="str">
        <f t="shared" ref="V94:V98" si="117">IF(AND(T94="Preventivo",U94="Automático"),"50%",IF(AND(T94="Preventivo",U94="Manual"),"40%",IF(AND(T94="Detectivo",U94="Automático"),"40%",IF(AND(T94="Detectivo",U94="Manual"),"30%",IF(AND(T94="Correctivo",U94="Automático"),"35%",IF(AND(T94="Correctivo",U94="Manual"),"25%",""))))))</f>
        <v/>
      </c>
      <c r="W94" s="116"/>
      <c r="X94" s="116"/>
      <c r="Y94" s="116"/>
      <c r="Z94" s="118" t="str">
        <f>IFERROR(IF(AND(S93="Probabilidad",S94="Probabilidad"),(AB93-(+AB93*V94)),IF(S94="Probabilidad",(K93-(+K93*V94)),IF(S94="Impacto",AB93,""))),"")</f>
        <v/>
      </c>
      <c r="AA94" s="119" t="str">
        <f t="shared" ref="AA94:AA98" si="118">IFERROR(IF(Z94="","",IF(Z94&lt;=0.2,"Muy Baja",IF(Z94&lt;=0.4,"Baja",IF(Z94&lt;=0.6,"Media",IF(Z94&lt;=0.8,"Alta","Muy Alta"))))),"")</f>
        <v/>
      </c>
      <c r="AB94" s="117" t="str">
        <f t="shared" ref="AB94:AB98" si="119">+Z94</f>
        <v/>
      </c>
      <c r="AC94" s="119" t="str">
        <f t="shared" ref="AC94:AC98" si="120">IFERROR(IF(AD94="","",IF(AD94&lt;=0.2,"Leve",IF(AD94&lt;=0.4,"Menor",IF(AD94&lt;=0.6,"Moderado",IF(AD94&lt;=0.8,"Mayor","Catastrófico"))))),"")</f>
        <v/>
      </c>
      <c r="AD94" s="117" t="str">
        <f>IFERROR(IF(AND(S93="Impacto",S94="Impacto"),(AD87-(+AD87*V94)),IF(S94="Impacto",($O$33-(+$O$33*V94)),IF(S94="Probabilidad",AD87,""))),"")</f>
        <v/>
      </c>
      <c r="AE94" s="120" t="str">
        <f t="shared" ref="AE94:AE95" si="121">IFERROR(IF(OR(AND(AA94="Muy Baja",AC94="Leve"),AND(AA94="Muy Baja",AC94="Menor"),AND(AA94="Baja",AC94="Leve")),"Bajo",IF(OR(AND(AA94="Muy baja",AC94="Moderado"),AND(AA94="Baja",AC94="Menor"),AND(AA94="Baja",AC94="Moderado"),AND(AA94="Media",AC94="Leve"),AND(AA94="Media",AC94="Menor"),AND(AA94="Media",AC94="Moderado"),AND(AA94="Alta",AC94="Leve"),AND(AA94="Alta",AC94="Menor")),"Moderado",IF(OR(AND(AA94="Muy Baja",AC94="Mayor"),AND(AA94="Baja",AC94="Mayor"),AND(AA94="Media",AC94="Mayor"),AND(AA94="Alta",AC94="Moderado"),AND(AA94="Alta",AC94="Mayor"),AND(AA94="Muy Alta",AC94="Leve"),AND(AA94="Muy Alta",AC94="Menor"),AND(AA94="Muy Alta",AC94="Moderado"),AND(AA94="Muy Alta",AC94="Mayor")),"Alto",IF(OR(AND(AA94="Muy Baja",AC94="Catastrófico"),AND(AA94="Baja",AC94="Catastrófico"),AND(AA94="Media",AC94="Catastrófico"),AND(AA94="Alta",AC94="Catastrófico"),AND(AA94="Muy Alta",AC94="Catastrófico")),"Extremo","")))),"")</f>
        <v/>
      </c>
      <c r="AF94" s="116"/>
      <c r="AG94" s="121"/>
      <c r="AH94" s="122"/>
      <c r="AI94" s="123"/>
      <c r="AJ94" s="123"/>
      <c r="AK94" s="121"/>
      <c r="AL94" s="122"/>
    </row>
    <row r="95" spans="1:38" x14ac:dyDescent="0.3">
      <c r="A95" s="211"/>
      <c r="B95" s="139"/>
      <c r="C95" s="139"/>
      <c r="D95" s="212"/>
      <c r="E95" s="204"/>
      <c r="F95" s="141"/>
      <c r="G95" s="212"/>
      <c r="H95" s="140"/>
      <c r="I95" s="213"/>
      <c r="J95" s="200"/>
      <c r="K95" s="201"/>
      <c r="L95" s="203"/>
      <c r="M95" s="201">
        <f t="shared" si="116"/>
        <v>0</v>
      </c>
      <c r="N95" s="200"/>
      <c r="O95" s="201"/>
      <c r="P95" s="202"/>
      <c r="Q95" s="113">
        <v>3</v>
      </c>
      <c r="R95" s="126"/>
      <c r="S95" s="115" t="str">
        <f>IF(OR(T95="Preventivo",T95="Detectivo"),"Probabilidad",IF(T95="Correctivo","Impacto",""))</f>
        <v/>
      </c>
      <c r="T95" s="116"/>
      <c r="U95" s="116"/>
      <c r="V95" s="117" t="str">
        <f t="shared" si="117"/>
        <v/>
      </c>
      <c r="W95" s="116"/>
      <c r="X95" s="116"/>
      <c r="Y95" s="116"/>
      <c r="Z95" s="118" t="str">
        <f>IFERROR(IF(AND(S94="Probabilidad",S95="Probabilidad"),(AB94-(+AB94*V95)),IF(AND(S94="Impacto",S95="Probabilidad"),(AB93-(+AB93*V95)),IF(S95="Impacto",AB94,""))),"")</f>
        <v/>
      </c>
      <c r="AA95" s="119" t="str">
        <f t="shared" si="118"/>
        <v/>
      </c>
      <c r="AB95" s="117" t="str">
        <f t="shared" si="119"/>
        <v/>
      </c>
      <c r="AC95" s="119" t="str">
        <f t="shared" si="120"/>
        <v/>
      </c>
      <c r="AD95" s="117" t="str">
        <f>IFERROR(IF(AND(S94="Impacto",S95="Impacto"),(AD94-(+AD94*V95)),IF(AND(S94="Probabilidad",S95="Impacto"),(AD93-(+AD93*V95)),IF(S95="Probabilidad",AD94,""))),"")</f>
        <v/>
      </c>
      <c r="AE95" s="120" t="str">
        <f t="shared" si="121"/>
        <v/>
      </c>
      <c r="AF95" s="116"/>
      <c r="AG95" s="121"/>
      <c r="AH95" s="122"/>
      <c r="AI95" s="123"/>
      <c r="AJ95" s="123"/>
      <c r="AK95" s="121"/>
      <c r="AL95" s="122"/>
    </row>
    <row r="96" spans="1:38" x14ac:dyDescent="0.3">
      <c r="A96" s="211"/>
      <c r="B96" s="139"/>
      <c r="C96" s="139"/>
      <c r="D96" s="212"/>
      <c r="E96" s="204"/>
      <c r="F96" s="141"/>
      <c r="G96" s="212"/>
      <c r="H96" s="140"/>
      <c r="I96" s="213"/>
      <c r="J96" s="200"/>
      <c r="K96" s="201"/>
      <c r="L96" s="203"/>
      <c r="M96" s="201">
        <f t="shared" si="116"/>
        <v>0</v>
      </c>
      <c r="N96" s="200"/>
      <c r="O96" s="201"/>
      <c r="P96" s="202"/>
      <c r="Q96" s="113">
        <v>4</v>
      </c>
      <c r="R96" s="114"/>
      <c r="S96" s="115" t="str">
        <f t="shared" ref="S96:S98" si="122">IF(OR(T96="Preventivo",T96="Detectivo"),"Probabilidad",IF(T96="Correctivo","Impacto",""))</f>
        <v/>
      </c>
      <c r="T96" s="116"/>
      <c r="U96" s="116"/>
      <c r="V96" s="117" t="str">
        <f t="shared" si="117"/>
        <v/>
      </c>
      <c r="W96" s="116"/>
      <c r="X96" s="116"/>
      <c r="Y96" s="116"/>
      <c r="Z96" s="118" t="str">
        <f t="shared" ref="Z96:Z98" si="123">IFERROR(IF(AND(S95="Probabilidad",S96="Probabilidad"),(AB95-(+AB95*V96)),IF(AND(S95="Impacto",S96="Probabilidad"),(AB94-(+AB94*V96)),IF(S96="Impacto",AB95,""))),"")</f>
        <v/>
      </c>
      <c r="AA96" s="119" t="str">
        <f t="shared" si="118"/>
        <v/>
      </c>
      <c r="AB96" s="117" t="str">
        <f t="shared" si="119"/>
        <v/>
      </c>
      <c r="AC96" s="119" t="str">
        <f t="shared" si="120"/>
        <v/>
      </c>
      <c r="AD96" s="117" t="str">
        <f t="shared" ref="AD96:AD98" si="124">IFERROR(IF(AND(S95="Impacto",S96="Impacto"),(AD95-(+AD95*V96)),IF(AND(S95="Probabilidad",S96="Impacto"),(AD94-(+AD94*V96)),IF(S96="Probabilidad",AD95,""))),"")</f>
        <v/>
      </c>
      <c r="AE96" s="120" t="str">
        <f>IFERROR(IF(OR(AND(AA96="Muy Baja",AC96="Leve"),AND(AA96="Muy Baja",AC96="Menor"),AND(AA96="Baja",AC96="Leve")),"Bajo",IF(OR(AND(AA96="Muy baja",AC96="Moderado"),AND(AA96="Baja",AC96="Menor"),AND(AA96="Baja",AC96="Moderado"),AND(AA96="Media",AC96="Leve"),AND(AA96="Media",AC96="Menor"),AND(AA96="Media",AC96="Moderado"),AND(AA96="Alta",AC96="Leve"),AND(AA96="Alta",AC96="Menor")),"Moderado",IF(OR(AND(AA96="Muy Baja",AC96="Mayor"),AND(AA96="Baja",AC96="Mayor"),AND(AA96="Media",AC96="Mayor"),AND(AA96="Alta",AC96="Moderado"),AND(AA96="Alta",AC96="Mayor"),AND(AA96="Muy Alta",AC96="Leve"),AND(AA96="Muy Alta",AC96="Menor"),AND(AA96="Muy Alta",AC96="Moderado"),AND(AA96="Muy Alta",AC96="Mayor")),"Alto",IF(OR(AND(AA96="Muy Baja",AC96="Catastrófico"),AND(AA96="Baja",AC96="Catastrófico"),AND(AA96="Media",AC96="Catastrófico"),AND(AA96="Alta",AC96="Catastrófico"),AND(AA96="Muy Alta",AC96="Catastrófico")),"Extremo","")))),"")</f>
        <v/>
      </c>
      <c r="AF96" s="116"/>
      <c r="AG96" s="121"/>
      <c r="AH96" s="122"/>
      <c r="AI96" s="123"/>
      <c r="AJ96" s="123"/>
      <c r="AK96" s="121"/>
      <c r="AL96" s="122"/>
    </row>
    <row r="97" spans="1:38" x14ac:dyDescent="0.3">
      <c r="A97" s="211"/>
      <c r="B97" s="139"/>
      <c r="C97" s="139"/>
      <c r="D97" s="212"/>
      <c r="E97" s="204"/>
      <c r="F97" s="141"/>
      <c r="G97" s="212"/>
      <c r="H97" s="140"/>
      <c r="I97" s="213"/>
      <c r="J97" s="200"/>
      <c r="K97" s="201"/>
      <c r="L97" s="203"/>
      <c r="M97" s="201">
        <f t="shared" si="116"/>
        <v>0</v>
      </c>
      <c r="N97" s="200"/>
      <c r="O97" s="201"/>
      <c r="P97" s="202"/>
      <c r="Q97" s="113">
        <v>5</v>
      </c>
      <c r="R97" s="114"/>
      <c r="S97" s="115" t="str">
        <f t="shared" si="122"/>
        <v/>
      </c>
      <c r="T97" s="116"/>
      <c r="U97" s="116"/>
      <c r="V97" s="117" t="str">
        <f t="shared" si="117"/>
        <v/>
      </c>
      <c r="W97" s="116"/>
      <c r="X97" s="116"/>
      <c r="Y97" s="116"/>
      <c r="Z97" s="118" t="str">
        <f t="shared" si="123"/>
        <v/>
      </c>
      <c r="AA97" s="119" t="str">
        <f t="shared" si="118"/>
        <v/>
      </c>
      <c r="AB97" s="117" t="str">
        <f t="shared" si="119"/>
        <v/>
      </c>
      <c r="AC97" s="119" t="str">
        <f t="shared" si="120"/>
        <v/>
      </c>
      <c r="AD97" s="117" t="str">
        <f t="shared" si="124"/>
        <v/>
      </c>
      <c r="AE97" s="120" t="str">
        <f t="shared" ref="AE97:AE98" si="125">IFERROR(IF(OR(AND(AA97="Muy Baja",AC97="Leve"),AND(AA97="Muy Baja",AC97="Menor"),AND(AA97="Baja",AC97="Leve")),"Bajo",IF(OR(AND(AA97="Muy baja",AC97="Moderado"),AND(AA97="Baja",AC97="Menor"),AND(AA97="Baja",AC97="Moderado"),AND(AA97="Media",AC97="Leve"),AND(AA97="Media",AC97="Menor"),AND(AA97="Media",AC97="Moderado"),AND(AA97="Alta",AC97="Leve"),AND(AA97="Alta",AC97="Menor")),"Moderado",IF(OR(AND(AA97="Muy Baja",AC97="Mayor"),AND(AA97="Baja",AC97="Mayor"),AND(AA97="Media",AC97="Mayor"),AND(AA97="Alta",AC97="Moderado"),AND(AA97="Alta",AC97="Mayor"),AND(AA97="Muy Alta",AC97="Leve"),AND(AA97="Muy Alta",AC97="Menor"),AND(AA97="Muy Alta",AC97="Moderado"),AND(AA97="Muy Alta",AC97="Mayor")),"Alto",IF(OR(AND(AA97="Muy Baja",AC97="Catastrófico"),AND(AA97="Baja",AC97="Catastrófico"),AND(AA97="Media",AC97="Catastrófico"),AND(AA97="Alta",AC97="Catastrófico"),AND(AA97="Muy Alta",AC97="Catastrófico")),"Extremo","")))),"")</f>
        <v/>
      </c>
      <c r="AF97" s="116"/>
      <c r="AG97" s="121"/>
      <c r="AH97" s="122"/>
      <c r="AI97" s="123"/>
      <c r="AJ97" s="123"/>
      <c r="AK97" s="121"/>
      <c r="AL97" s="122"/>
    </row>
    <row r="98" spans="1:38" x14ac:dyDescent="0.3">
      <c r="A98" s="211"/>
      <c r="B98" s="139"/>
      <c r="C98" s="139"/>
      <c r="D98" s="212"/>
      <c r="E98" s="204"/>
      <c r="F98" s="141"/>
      <c r="G98" s="212"/>
      <c r="H98" s="140"/>
      <c r="I98" s="213"/>
      <c r="J98" s="200"/>
      <c r="K98" s="201"/>
      <c r="L98" s="203"/>
      <c r="M98" s="201">
        <f t="shared" si="116"/>
        <v>0</v>
      </c>
      <c r="N98" s="200"/>
      <c r="O98" s="201"/>
      <c r="P98" s="202"/>
      <c r="Q98" s="113">
        <v>6</v>
      </c>
      <c r="R98" s="114"/>
      <c r="S98" s="115" t="str">
        <f t="shared" si="122"/>
        <v/>
      </c>
      <c r="T98" s="116"/>
      <c r="U98" s="116"/>
      <c r="V98" s="117" t="str">
        <f t="shared" si="117"/>
        <v/>
      </c>
      <c r="W98" s="116"/>
      <c r="X98" s="116"/>
      <c r="Y98" s="116"/>
      <c r="Z98" s="118" t="str">
        <f t="shared" si="123"/>
        <v/>
      </c>
      <c r="AA98" s="119" t="str">
        <f t="shared" si="118"/>
        <v/>
      </c>
      <c r="AB98" s="117" t="str">
        <f t="shared" si="119"/>
        <v/>
      </c>
      <c r="AC98" s="119" t="str">
        <f t="shared" si="120"/>
        <v/>
      </c>
      <c r="AD98" s="117" t="str">
        <f t="shared" si="124"/>
        <v/>
      </c>
      <c r="AE98" s="120" t="str">
        <f t="shared" si="125"/>
        <v/>
      </c>
      <c r="AF98" s="116"/>
      <c r="AG98" s="121"/>
      <c r="AH98" s="122"/>
      <c r="AI98" s="123"/>
      <c r="AJ98" s="123"/>
      <c r="AK98" s="121"/>
      <c r="AL98" s="122"/>
    </row>
    <row r="99" spans="1:38" x14ac:dyDescent="0.3">
      <c r="A99" s="211">
        <v>6</v>
      </c>
      <c r="B99" s="139"/>
      <c r="C99" s="139"/>
      <c r="D99" s="212"/>
      <c r="E99" s="204"/>
      <c r="F99" s="141"/>
      <c r="G99" s="212"/>
      <c r="H99" s="140"/>
      <c r="I99" s="213"/>
      <c r="J99" s="200" t="str">
        <f>IF(I99&lt;=0,"",IF(I99&lt;=2,"Muy Baja",IF(I99&lt;=24,"Baja",IF(I99&lt;=500,"Media",IF(I99&lt;=5000,"Alta","Muy Alta")))))</f>
        <v/>
      </c>
      <c r="K99" s="201" t="str">
        <f>IF(J99="","",IF(J99="Muy Baja",0.2,IF(J99="Baja",0.4,IF(J99="Media",0.6,IF(J99="Alta",0.8,IF(J99="Muy Alta",1,))))))</f>
        <v/>
      </c>
      <c r="L99" s="203"/>
      <c r="M99" s="201">
        <f>IF(NOT(ISERROR(MATCH(L99,'Tabla Impacto'!$B$221:$B$223,0))),'Tabla Impacto'!$F$223&amp;"Por favor no seleccionar los criterios de impacto(Afectación Económica o presupuestal y Pérdida Reputacional)",L99)</f>
        <v>0</v>
      </c>
      <c r="N99" s="200" t="str">
        <f>IF(OR(M99='Tabla Impacto'!$C$11,M99='Tabla Impacto'!$D$11),"Leve",IF(OR(M99='Tabla Impacto'!$C$12,M99='Tabla Impacto'!$D$12),"Menor",IF(OR(M99='Tabla Impacto'!$C$13,M99='Tabla Impacto'!$D$13),"Moderado",IF(OR(M99='Tabla Impacto'!$C$14,M99='Tabla Impacto'!$D$14),"Mayor",IF(OR(M99='Tabla Impacto'!$C$15,M99='Tabla Impacto'!$D$15),"Catastrófico","")))))</f>
        <v/>
      </c>
      <c r="O99" s="201" t="str">
        <f>IF(N99="","",IF(N99="Leve",0.2,IF(N99="Menor",0.4,IF(N99="Moderado",0.6,IF(N99="Mayor",0.8,IF(N99="Catastrófico",1,))))))</f>
        <v/>
      </c>
      <c r="P99" s="202" t="str">
        <f>IF(OR(AND(J99="Muy Baja",N99="Leve"),AND(J99="Muy Baja",N99="Menor"),AND(J99="Baja",N99="Leve")),"Bajo",IF(OR(AND(J99="Muy baja",N99="Moderado"),AND(J99="Baja",N99="Menor"),AND(J99="Baja",N99="Moderado"),AND(J99="Media",N99="Leve"),AND(J99="Media",N99="Menor"),AND(J99="Media",N99="Moderado"),AND(J99="Alta",N99="Leve"),AND(J99="Alta",N99="Menor")),"Moderado",IF(OR(AND(J99="Muy Baja",N99="Mayor"),AND(J99="Baja",N99="Mayor"),AND(J99="Media",N99="Mayor"),AND(J99="Alta",N99="Moderado"),AND(J99="Alta",N99="Mayor"),AND(J99="Muy Alta",N99="Leve"),AND(J99="Muy Alta",N99="Menor"),AND(J99="Muy Alta",N99="Moderado"),AND(J99="Muy Alta",N99="Mayor")),"Alto",IF(OR(AND(J99="Muy Baja",N99="Catastrófico"),AND(J99="Baja",N99="Catastrófico"),AND(J99="Media",N99="Catastrófico"),AND(J99="Alta",N99="Catastrófico"),AND(J99="Muy Alta",N99="Catastrófico")),"Extremo",""))))</f>
        <v/>
      </c>
      <c r="Q99" s="113">
        <v>1</v>
      </c>
      <c r="R99" s="114"/>
      <c r="S99" s="115" t="str">
        <f>IF(OR(T99="Preventivo",T99="Detectivo"),"Probabilidad",IF(T99="Correctivo","Impacto",""))</f>
        <v/>
      </c>
      <c r="T99" s="116"/>
      <c r="U99" s="116"/>
      <c r="V99" s="117" t="str">
        <f>IF(AND(T99="Preventivo",U99="Automático"),"50%",IF(AND(T99="Preventivo",U99="Manual"),"40%",IF(AND(T99="Detectivo",U99="Automático"),"40%",IF(AND(T99="Detectivo",U99="Manual"),"30%",IF(AND(T99="Correctivo",U99="Automático"),"35%",IF(AND(T99="Correctivo",U99="Manual"),"25%",""))))))</f>
        <v/>
      </c>
      <c r="W99" s="116"/>
      <c r="X99" s="116"/>
      <c r="Y99" s="116"/>
      <c r="Z99" s="118" t="str">
        <f>IFERROR(IF(S99="Probabilidad",(K99-(+K99*V99)),IF(S99="Impacto",K99,"")),"")</f>
        <v/>
      </c>
      <c r="AA99" s="119" t="str">
        <f>IFERROR(IF(Z99="","",IF(Z99&lt;=0.2,"Muy Baja",IF(Z99&lt;=0.4,"Baja",IF(Z99&lt;=0.6,"Media",IF(Z99&lt;=0.8,"Alta","Muy Alta"))))),"")</f>
        <v/>
      </c>
      <c r="AB99" s="117" t="str">
        <f>+Z99</f>
        <v/>
      </c>
      <c r="AC99" s="119" t="str">
        <f>IFERROR(IF(AD99="","",IF(AD99&lt;=0.2,"Leve",IF(AD99&lt;=0.4,"Menor",IF(AD99&lt;=0.6,"Moderado",IF(AD99&lt;=0.8,"Mayor","Catastrófico"))))),"")</f>
        <v/>
      </c>
      <c r="AD99" s="117" t="str">
        <f>IFERROR(IF(S99="Impacto",(O99-(+O99*V99)),IF(S99="Probabilidad",O99,"")),"")</f>
        <v/>
      </c>
      <c r="AE99" s="120" t="str">
        <f>IFERROR(IF(OR(AND(AA99="Muy Baja",AC99="Leve"),AND(AA99="Muy Baja",AC99="Menor"),AND(AA99="Baja",AC99="Leve")),"Bajo",IF(OR(AND(AA99="Muy baja",AC99="Moderado"),AND(AA99="Baja",AC99="Menor"),AND(AA99="Baja",AC99="Moderado"),AND(AA99="Media",AC99="Leve"),AND(AA99="Media",AC99="Menor"),AND(AA99="Media",AC99="Moderado"),AND(AA99="Alta",AC99="Leve"),AND(AA99="Alta",AC99="Menor")),"Moderado",IF(OR(AND(AA99="Muy Baja",AC99="Mayor"),AND(AA99="Baja",AC99="Mayor"),AND(AA99="Media",AC99="Mayor"),AND(AA99="Alta",AC99="Moderado"),AND(AA99="Alta",AC99="Mayor"),AND(AA99="Muy Alta",AC99="Leve"),AND(AA99="Muy Alta",AC99="Menor"),AND(AA99="Muy Alta",AC99="Moderado"),AND(AA99="Muy Alta",AC99="Mayor")),"Alto",IF(OR(AND(AA99="Muy Baja",AC99="Catastrófico"),AND(AA99="Baja",AC99="Catastrófico"),AND(AA99="Media",AC99="Catastrófico"),AND(AA99="Alta",AC99="Catastrófico"),AND(AA99="Muy Alta",AC99="Catastrófico")),"Extremo","")))),"")</f>
        <v/>
      </c>
      <c r="AF99" s="116"/>
      <c r="AG99" s="121"/>
      <c r="AH99" s="122"/>
      <c r="AI99" s="123"/>
      <c r="AJ99" s="123"/>
      <c r="AK99" s="121"/>
      <c r="AL99" s="122"/>
    </row>
    <row r="100" spans="1:38" x14ac:dyDescent="0.3">
      <c r="A100" s="211"/>
      <c r="B100" s="139"/>
      <c r="C100" s="139"/>
      <c r="D100" s="212"/>
      <c r="E100" s="204"/>
      <c r="F100" s="141"/>
      <c r="G100" s="212"/>
      <c r="H100" s="140"/>
      <c r="I100" s="213"/>
      <c r="J100" s="200"/>
      <c r="K100" s="201"/>
      <c r="L100" s="203"/>
      <c r="M100" s="201">
        <f t="shared" ref="M100:M104" si="126">IF(NOT(ISERROR(MATCH(L100,_xlfn.ANCHORARRAY(E111),0))),K113&amp;"Por favor no seleccionar los criterios de impacto",L100)</f>
        <v>0</v>
      </c>
      <c r="N100" s="200"/>
      <c r="O100" s="201"/>
      <c r="P100" s="202"/>
      <c r="Q100" s="113">
        <v>2</v>
      </c>
      <c r="R100" s="114"/>
      <c r="S100" s="115" t="str">
        <f>IF(OR(T100="Preventivo",T100="Detectivo"),"Probabilidad",IF(T100="Correctivo","Impacto",""))</f>
        <v/>
      </c>
      <c r="T100" s="116"/>
      <c r="U100" s="116"/>
      <c r="V100" s="117" t="str">
        <f t="shared" ref="V100:V104" si="127">IF(AND(T100="Preventivo",U100="Automático"),"50%",IF(AND(T100="Preventivo",U100="Manual"),"40%",IF(AND(T100="Detectivo",U100="Automático"),"40%",IF(AND(T100="Detectivo",U100="Manual"),"30%",IF(AND(T100="Correctivo",U100="Automático"),"35%",IF(AND(T100="Correctivo",U100="Manual"),"25%",""))))))</f>
        <v/>
      </c>
      <c r="W100" s="116"/>
      <c r="X100" s="116"/>
      <c r="Y100" s="116"/>
      <c r="Z100" s="118" t="str">
        <f>IFERROR(IF(AND(S99="Probabilidad",S100="Probabilidad"),(AB99-(+AB99*V100)),IF(S100="Probabilidad",(K99-(+K99*V100)),IF(S100="Impacto",AB99,""))),"")</f>
        <v/>
      </c>
      <c r="AA100" s="119" t="str">
        <f t="shared" ref="AA100:AA104" si="128">IFERROR(IF(Z100="","",IF(Z100&lt;=0.2,"Muy Baja",IF(Z100&lt;=0.4,"Baja",IF(Z100&lt;=0.6,"Media",IF(Z100&lt;=0.8,"Alta","Muy Alta"))))),"")</f>
        <v/>
      </c>
      <c r="AB100" s="117" t="str">
        <f t="shared" ref="AB100:AB104" si="129">+Z100</f>
        <v/>
      </c>
      <c r="AC100" s="119" t="str">
        <f t="shared" ref="AC100:AC103" si="130">IFERROR(IF(AD100="","",IF(AD100&lt;=0.2,"Leve",IF(AD100&lt;=0.4,"Menor",IF(AD100&lt;=0.6,"Moderado",IF(AD100&lt;=0.8,"Mayor","Catastrófico"))))),"")</f>
        <v/>
      </c>
      <c r="AD100" s="117" t="str">
        <f>IFERROR(IF(AND(S99="Impacto",S100="Impacto"),(AD93-(+AD93*V100)),IF(S100="Impacto",($O$39-(+$O$39*V100)),IF(S100="Probabilidad",AD93,""))),"")</f>
        <v/>
      </c>
      <c r="AE100" s="120" t="str">
        <f t="shared" ref="AE100:AE101" si="131">IFERROR(IF(OR(AND(AA100="Muy Baja",AC100="Leve"),AND(AA100="Muy Baja",AC100="Menor"),AND(AA100="Baja",AC100="Leve")),"Bajo",IF(OR(AND(AA100="Muy baja",AC100="Moderado"),AND(AA100="Baja",AC100="Menor"),AND(AA100="Baja",AC100="Moderado"),AND(AA100="Media",AC100="Leve"),AND(AA100="Media",AC100="Menor"),AND(AA100="Media",AC100="Moderado"),AND(AA100="Alta",AC100="Leve"),AND(AA100="Alta",AC100="Menor")),"Moderado",IF(OR(AND(AA100="Muy Baja",AC100="Mayor"),AND(AA100="Baja",AC100="Mayor"),AND(AA100="Media",AC100="Mayor"),AND(AA100="Alta",AC100="Moderado"),AND(AA100="Alta",AC100="Mayor"),AND(AA100="Muy Alta",AC100="Leve"),AND(AA100="Muy Alta",AC100="Menor"),AND(AA100="Muy Alta",AC100="Moderado"),AND(AA100="Muy Alta",AC100="Mayor")),"Alto",IF(OR(AND(AA100="Muy Baja",AC100="Catastrófico"),AND(AA100="Baja",AC100="Catastrófico"),AND(AA100="Media",AC100="Catastrófico"),AND(AA100="Alta",AC100="Catastrófico"),AND(AA100="Muy Alta",AC100="Catastrófico")),"Extremo","")))),"")</f>
        <v/>
      </c>
      <c r="AF100" s="116"/>
      <c r="AG100" s="121"/>
      <c r="AH100" s="122"/>
      <c r="AI100" s="123"/>
      <c r="AJ100" s="123"/>
      <c r="AK100" s="121"/>
      <c r="AL100" s="122"/>
    </row>
    <row r="101" spans="1:38" x14ac:dyDescent="0.3">
      <c r="A101" s="211"/>
      <c r="B101" s="139"/>
      <c r="C101" s="139"/>
      <c r="D101" s="212"/>
      <c r="E101" s="204"/>
      <c r="F101" s="141"/>
      <c r="G101" s="212"/>
      <c r="H101" s="140"/>
      <c r="I101" s="213"/>
      <c r="J101" s="200"/>
      <c r="K101" s="201"/>
      <c r="L101" s="203"/>
      <c r="M101" s="201">
        <f t="shared" si="126"/>
        <v>0</v>
      </c>
      <c r="N101" s="200"/>
      <c r="O101" s="201"/>
      <c r="P101" s="202"/>
      <c r="Q101" s="113">
        <v>3</v>
      </c>
      <c r="R101" s="126"/>
      <c r="S101" s="115" t="str">
        <f>IF(OR(T101="Preventivo",T101="Detectivo"),"Probabilidad",IF(T101="Correctivo","Impacto",""))</f>
        <v/>
      </c>
      <c r="T101" s="116"/>
      <c r="U101" s="116"/>
      <c r="V101" s="117" t="str">
        <f t="shared" si="127"/>
        <v/>
      </c>
      <c r="W101" s="116"/>
      <c r="X101" s="116"/>
      <c r="Y101" s="116"/>
      <c r="Z101" s="118" t="str">
        <f>IFERROR(IF(AND(S100="Probabilidad",S101="Probabilidad"),(AB100-(+AB100*V101)),IF(AND(S100="Impacto",S101="Probabilidad"),(AB99-(+AB99*V101)),IF(S101="Impacto",AB100,""))),"")</f>
        <v/>
      </c>
      <c r="AA101" s="119" t="str">
        <f t="shared" si="128"/>
        <v/>
      </c>
      <c r="AB101" s="117" t="str">
        <f t="shared" si="129"/>
        <v/>
      </c>
      <c r="AC101" s="119" t="str">
        <f t="shared" si="130"/>
        <v/>
      </c>
      <c r="AD101" s="117" t="str">
        <f>IFERROR(IF(AND(S100="Impacto",S101="Impacto"),(AD100-(+AD100*V101)),IF(AND(S100="Probabilidad",S101="Impacto"),(AD99-(+AD99*V101)),IF(S101="Probabilidad",AD100,""))),"")</f>
        <v/>
      </c>
      <c r="AE101" s="120" t="str">
        <f t="shared" si="131"/>
        <v/>
      </c>
      <c r="AF101" s="116"/>
      <c r="AG101" s="121"/>
      <c r="AH101" s="122"/>
      <c r="AI101" s="123"/>
      <c r="AJ101" s="123"/>
      <c r="AK101" s="121"/>
      <c r="AL101" s="122"/>
    </row>
    <row r="102" spans="1:38" x14ac:dyDescent="0.3">
      <c r="A102" s="211"/>
      <c r="B102" s="139"/>
      <c r="C102" s="139"/>
      <c r="D102" s="212"/>
      <c r="E102" s="204"/>
      <c r="F102" s="141"/>
      <c r="G102" s="212"/>
      <c r="H102" s="140"/>
      <c r="I102" s="213"/>
      <c r="J102" s="200"/>
      <c r="K102" s="201"/>
      <c r="L102" s="203"/>
      <c r="M102" s="201">
        <f t="shared" si="126"/>
        <v>0</v>
      </c>
      <c r="N102" s="200"/>
      <c r="O102" s="201"/>
      <c r="P102" s="202"/>
      <c r="Q102" s="113">
        <v>4</v>
      </c>
      <c r="R102" s="114"/>
      <c r="S102" s="115" t="str">
        <f t="shared" ref="S102:S104" si="132">IF(OR(T102="Preventivo",T102="Detectivo"),"Probabilidad",IF(T102="Correctivo","Impacto",""))</f>
        <v/>
      </c>
      <c r="T102" s="116"/>
      <c r="U102" s="116"/>
      <c r="V102" s="117" t="str">
        <f t="shared" si="127"/>
        <v/>
      </c>
      <c r="W102" s="116"/>
      <c r="X102" s="116"/>
      <c r="Y102" s="116"/>
      <c r="Z102" s="118" t="str">
        <f t="shared" ref="Z102:Z104" si="133">IFERROR(IF(AND(S101="Probabilidad",S102="Probabilidad"),(AB101-(+AB101*V102)),IF(AND(S101="Impacto",S102="Probabilidad"),(AB100-(+AB100*V102)),IF(S102="Impacto",AB101,""))),"")</f>
        <v/>
      </c>
      <c r="AA102" s="119" t="str">
        <f t="shared" si="128"/>
        <v/>
      </c>
      <c r="AB102" s="117" t="str">
        <f t="shared" si="129"/>
        <v/>
      </c>
      <c r="AC102" s="119" t="str">
        <f t="shared" si="130"/>
        <v/>
      </c>
      <c r="AD102" s="117" t="str">
        <f t="shared" ref="AD102:AD104" si="134">IFERROR(IF(AND(S101="Impacto",S102="Impacto"),(AD101-(+AD101*V102)),IF(AND(S101="Probabilidad",S102="Impacto"),(AD100-(+AD100*V102)),IF(S102="Probabilidad",AD101,""))),"")</f>
        <v/>
      </c>
      <c r="AE102" s="120" t="str">
        <f>IFERROR(IF(OR(AND(AA102="Muy Baja",AC102="Leve"),AND(AA102="Muy Baja",AC102="Menor"),AND(AA102="Baja",AC102="Leve")),"Bajo",IF(OR(AND(AA102="Muy baja",AC102="Moderado"),AND(AA102="Baja",AC102="Menor"),AND(AA102="Baja",AC102="Moderado"),AND(AA102="Media",AC102="Leve"),AND(AA102="Media",AC102="Menor"),AND(AA102="Media",AC102="Moderado"),AND(AA102="Alta",AC102="Leve"),AND(AA102="Alta",AC102="Menor")),"Moderado",IF(OR(AND(AA102="Muy Baja",AC102="Mayor"),AND(AA102="Baja",AC102="Mayor"),AND(AA102="Media",AC102="Mayor"),AND(AA102="Alta",AC102="Moderado"),AND(AA102="Alta",AC102="Mayor"),AND(AA102="Muy Alta",AC102="Leve"),AND(AA102="Muy Alta",AC102="Menor"),AND(AA102="Muy Alta",AC102="Moderado"),AND(AA102="Muy Alta",AC102="Mayor")),"Alto",IF(OR(AND(AA102="Muy Baja",AC102="Catastrófico"),AND(AA102="Baja",AC102="Catastrófico"),AND(AA102="Media",AC102="Catastrófico"),AND(AA102="Alta",AC102="Catastrófico"),AND(AA102="Muy Alta",AC102="Catastrófico")),"Extremo","")))),"")</f>
        <v/>
      </c>
      <c r="AF102" s="116"/>
      <c r="AG102" s="121"/>
      <c r="AH102" s="122"/>
      <c r="AI102" s="123"/>
      <c r="AJ102" s="123"/>
      <c r="AK102" s="121"/>
      <c r="AL102" s="122"/>
    </row>
    <row r="103" spans="1:38" x14ac:dyDescent="0.3">
      <c r="A103" s="211"/>
      <c r="B103" s="139"/>
      <c r="C103" s="139"/>
      <c r="D103" s="212"/>
      <c r="E103" s="204"/>
      <c r="F103" s="141"/>
      <c r="G103" s="212"/>
      <c r="H103" s="140"/>
      <c r="I103" s="213"/>
      <c r="J103" s="200"/>
      <c r="K103" s="201"/>
      <c r="L103" s="203"/>
      <c r="M103" s="201">
        <f t="shared" si="126"/>
        <v>0</v>
      </c>
      <c r="N103" s="200"/>
      <c r="O103" s="201"/>
      <c r="P103" s="202"/>
      <c r="Q103" s="113">
        <v>5</v>
      </c>
      <c r="R103" s="114"/>
      <c r="S103" s="115" t="str">
        <f t="shared" si="132"/>
        <v/>
      </c>
      <c r="T103" s="116"/>
      <c r="U103" s="116"/>
      <c r="V103" s="117" t="str">
        <f t="shared" si="127"/>
        <v/>
      </c>
      <c r="W103" s="116"/>
      <c r="X103" s="116"/>
      <c r="Y103" s="116"/>
      <c r="Z103" s="118" t="str">
        <f t="shared" si="133"/>
        <v/>
      </c>
      <c r="AA103" s="119" t="str">
        <f t="shared" si="128"/>
        <v/>
      </c>
      <c r="AB103" s="117" t="str">
        <f t="shared" si="129"/>
        <v/>
      </c>
      <c r="AC103" s="119" t="str">
        <f t="shared" si="130"/>
        <v/>
      </c>
      <c r="AD103" s="117" t="str">
        <f t="shared" si="134"/>
        <v/>
      </c>
      <c r="AE103" s="120" t="str">
        <f t="shared" ref="AE103" si="135">IFERROR(IF(OR(AND(AA103="Muy Baja",AC103="Leve"),AND(AA103="Muy Baja",AC103="Menor"),AND(AA103="Baja",AC103="Leve")),"Bajo",IF(OR(AND(AA103="Muy baja",AC103="Moderado"),AND(AA103="Baja",AC103="Menor"),AND(AA103="Baja",AC103="Moderado"),AND(AA103="Media",AC103="Leve"),AND(AA103="Media",AC103="Menor"),AND(AA103="Media",AC103="Moderado"),AND(AA103="Alta",AC103="Leve"),AND(AA103="Alta",AC103="Menor")),"Moderado",IF(OR(AND(AA103="Muy Baja",AC103="Mayor"),AND(AA103="Baja",AC103="Mayor"),AND(AA103="Media",AC103="Mayor"),AND(AA103="Alta",AC103="Moderado"),AND(AA103="Alta",AC103="Mayor"),AND(AA103="Muy Alta",AC103="Leve"),AND(AA103="Muy Alta",AC103="Menor"),AND(AA103="Muy Alta",AC103="Moderado"),AND(AA103="Muy Alta",AC103="Mayor")),"Alto",IF(OR(AND(AA103="Muy Baja",AC103="Catastrófico"),AND(AA103="Baja",AC103="Catastrófico"),AND(AA103="Media",AC103="Catastrófico"),AND(AA103="Alta",AC103="Catastrófico"),AND(AA103="Muy Alta",AC103="Catastrófico")),"Extremo","")))),"")</f>
        <v/>
      </c>
      <c r="AF103" s="116"/>
      <c r="AG103" s="121"/>
      <c r="AH103" s="122"/>
      <c r="AI103" s="123"/>
      <c r="AJ103" s="123"/>
      <c r="AK103" s="121"/>
      <c r="AL103" s="122"/>
    </row>
    <row r="104" spans="1:38" x14ac:dyDescent="0.3">
      <c r="A104" s="211"/>
      <c r="B104" s="139"/>
      <c r="C104" s="139"/>
      <c r="D104" s="212"/>
      <c r="E104" s="204"/>
      <c r="F104" s="141"/>
      <c r="G104" s="212"/>
      <c r="H104" s="140"/>
      <c r="I104" s="213"/>
      <c r="J104" s="200"/>
      <c r="K104" s="201"/>
      <c r="L104" s="203"/>
      <c r="M104" s="201">
        <f t="shared" si="126"/>
        <v>0</v>
      </c>
      <c r="N104" s="200"/>
      <c r="O104" s="201"/>
      <c r="P104" s="202"/>
      <c r="Q104" s="113">
        <v>6</v>
      </c>
      <c r="R104" s="114"/>
      <c r="S104" s="115" t="str">
        <f t="shared" si="132"/>
        <v/>
      </c>
      <c r="T104" s="116"/>
      <c r="U104" s="116"/>
      <c r="V104" s="117" t="str">
        <f t="shared" si="127"/>
        <v/>
      </c>
      <c r="W104" s="116"/>
      <c r="X104" s="116"/>
      <c r="Y104" s="116"/>
      <c r="Z104" s="118" t="str">
        <f t="shared" si="133"/>
        <v/>
      </c>
      <c r="AA104" s="119" t="str">
        <f t="shared" si="128"/>
        <v/>
      </c>
      <c r="AB104" s="117" t="str">
        <f t="shared" si="129"/>
        <v/>
      </c>
      <c r="AC104" s="119" t="str">
        <f>IFERROR(IF(AD104="","",IF(AD104&lt;=0.2,"Leve",IF(AD104&lt;=0.4,"Menor",IF(AD104&lt;=0.6,"Moderado",IF(AD104&lt;=0.8,"Mayor","Catastrófico"))))),"")</f>
        <v/>
      </c>
      <c r="AD104" s="117" t="str">
        <f t="shared" si="134"/>
        <v/>
      </c>
      <c r="AE104" s="120" t="str">
        <f>IFERROR(IF(OR(AND(AA104="Muy Baja",AC104="Leve"),AND(AA104="Muy Baja",AC104="Menor"),AND(AA104="Baja",AC104="Leve")),"Bajo",IF(OR(AND(AA104="Muy baja",AC104="Moderado"),AND(AA104="Baja",AC104="Menor"),AND(AA104="Baja",AC104="Moderado"),AND(AA104="Media",AC104="Leve"),AND(AA104="Media",AC104="Menor"),AND(AA104="Media",AC104="Moderado"),AND(AA104="Alta",AC104="Leve"),AND(AA104="Alta",AC104="Menor")),"Moderado",IF(OR(AND(AA104="Muy Baja",AC104="Mayor"),AND(AA104="Baja",AC104="Mayor"),AND(AA104="Media",AC104="Mayor"),AND(AA104="Alta",AC104="Moderado"),AND(AA104="Alta",AC104="Mayor"),AND(AA104="Muy Alta",AC104="Leve"),AND(AA104="Muy Alta",AC104="Menor"),AND(AA104="Muy Alta",AC104="Moderado"),AND(AA104="Muy Alta",AC104="Mayor")),"Alto",IF(OR(AND(AA104="Muy Baja",AC104="Catastrófico"),AND(AA104="Baja",AC104="Catastrófico"),AND(AA104="Media",AC104="Catastrófico"),AND(AA104="Alta",AC104="Catastrófico"),AND(AA104="Muy Alta",AC104="Catastrófico")),"Extremo","")))),"")</f>
        <v/>
      </c>
      <c r="AF104" s="116"/>
      <c r="AG104" s="121"/>
      <c r="AH104" s="122"/>
      <c r="AI104" s="123"/>
      <c r="AJ104" s="123"/>
      <c r="AK104" s="121"/>
      <c r="AL104" s="122"/>
    </row>
    <row r="105" spans="1:38" x14ac:dyDescent="0.3">
      <c r="A105" s="211">
        <v>7</v>
      </c>
      <c r="B105" s="139"/>
      <c r="C105" s="139"/>
      <c r="D105" s="212"/>
      <c r="E105" s="204"/>
      <c r="F105" s="141"/>
      <c r="G105" s="212"/>
      <c r="H105" s="140"/>
      <c r="I105" s="213"/>
      <c r="J105" s="200" t="str">
        <f>IF(I105&lt;=0,"",IF(I105&lt;=2,"Muy Baja",IF(I105&lt;=24,"Baja",IF(I105&lt;=500,"Media",IF(I105&lt;=5000,"Alta","Muy Alta")))))</f>
        <v/>
      </c>
      <c r="K105" s="201" t="str">
        <f>IF(J105="","",IF(J105="Muy Baja",0.2,IF(J105="Baja",0.4,IF(J105="Media",0.6,IF(J105="Alta",0.8,IF(J105="Muy Alta",1,))))))</f>
        <v/>
      </c>
      <c r="L105" s="203"/>
      <c r="M105" s="201">
        <f>IF(NOT(ISERROR(MATCH(L105,'Tabla Impacto'!$B$221:$B$223,0))),'Tabla Impacto'!$F$223&amp;"Por favor no seleccionar los criterios de impacto(Afectación Económica o presupuestal y Pérdida Reputacional)",L105)</f>
        <v>0</v>
      </c>
      <c r="N105" s="200" t="str">
        <f>IF(OR(M105='Tabla Impacto'!$C$11,M105='Tabla Impacto'!$D$11),"Leve",IF(OR(M105='Tabla Impacto'!$C$12,M105='Tabla Impacto'!$D$12),"Menor",IF(OR(M105='Tabla Impacto'!$C$13,M105='Tabla Impacto'!$D$13),"Moderado",IF(OR(M105='Tabla Impacto'!$C$14,M105='Tabla Impacto'!$D$14),"Mayor",IF(OR(M105='Tabla Impacto'!$C$15,M105='Tabla Impacto'!$D$15),"Catastrófico","")))))</f>
        <v/>
      </c>
      <c r="O105" s="201" t="str">
        <f>IF(N105="","",IF(N105="Leve",0.2,IF(N105="Menor",0.4,IF(N105="Moderado",0.6,IF(N105="Mayor",0.8,IF(N105="Catastrófico",1,))))))</f>
        <v/>
      </c>
      <c r="P105" s="202" t="str">
        <f>IF(OR(AND(J105="Muy Baja",N105="Leve"),AND(J105="Muy Baja",N105="Menor"),AND(J105="Baja",N105="Leve")),"Bajo",IF(OR(AND(J105="Muy baja",N105="Moderado"),AND(J105="Baja",N105="Menor"),AND(J105="Baja",N105="Moderado"),AND(J105="Media",N105="Leve"),AND(J105="Media",N105="Menor"),AND(J105="Media",N105="Moderado"),AND(J105="Alta",N105="Leve"),AND(J105="Alta",N105="Menor")),"Moderado",IF(OR(AND(J105="Muy Baja",N105="Mayor"),AND(J105="Baja",N105="Mayor"),AND(J105="Media",N105="Mayor"),AND(J105="Alta",N105="Moderado"),AND(J105="Alta",N105="Mayor"),AND(J105="Muy Alta",N105="Leve"),AND(J105="Muy Alta",N105="Menor"),AND(J105="Muy Alta",N105="Moderado"),AND(J105="Muy Alta",N105="Mayor")),"Alto",IF(OR(AND(J105="Muy Baja",N105="Catastrófico"),AND(J105="Baja",N105="Catastrófico"),AND(J105="Media",N105="Catastrófico"),AND(J105="Alta",N105="Catastrófico"),AND(J105="Muy Alta",N105="Catastrófico")),"Extremo",""))))</f>
        <v/>
      </c>
      <c r="Q105" s="113">
        <v>1</v>
      </c>
      <c r="R105" s="114"/>
      <c r="S105" s="115" t="str">
        <f>IF(OR(T105="Preventivo",T105="Detectivo"),"Probabilidad",IF(T105="Correctivo","Impacto",""))</f>
        <v/>
      </c>
      <c r="T105" s="116"/>
      <c r="U105" s="116"/>
      <c r="V105" s="117" t="str">
        <f>IF(AND(T105="Preventivo",U105="Automático"),"50%",IF(AND(T105="Preventivo",U105="Manual"),"40%",IF(AND(T105="Detectivo",U105="Automático"),"40%",IF(AND(T105="Detectivo",U105="Manual"),"30%",IF(AND(T105="Correctivo",U105="Automático"),"35%",IF(AND(T105="Correctivo",U105="Manual"),"25%",""))))))</f>
        <v/>
      </c>
      <c r="W105" s="116"/>
      <c r="X105" s="116"/>
      <c r="Y105" s="116"/>
      <c r="Z105" s="118" t="str">
        <f>IFERROR(IF(S105="Probabilidad",(K105-(+K105*V105)),IF(S105="Impacto",K105,"")),"")</f>
        <v/>
      </c>
      <c r="AA105" s="119" t="str">
        <f>IFERROR(IF(Z105="","",IF(Z105&lt;=0.2,"Muy Baja",IF(Z105&lt;=0.4,"Baja",IF(Z105&lt;=0.6,"Media",IF(Z105&lt;=0.8,"Alta","Muy Alta"))))),"")</f>
        <v/>
      </c>
      <c r="AB105" s="117" t="str">
        <f>+Z105</f>
        <v/>
      </c>
      <c r="AC105" s="119" t="str">
        <f>IFERROR(IF(AD105="","",IF(AD105&lt;=0.2,"Leve",IF(AD105&lt;=0.4,"Menor",IF(AD105&lt;=0.6,"Moderado",IF(AD105&lt;=0.8,"Mayor","Catastrófico"))))),"")</f>
        <v/>
      </c>
      <c r="AD105" s="117" t="str">
        <f>IFERROR(IF(S105="Impacto",(O105-(+O105*V105)),IF(S105="Probabilidad",O105,"")),"")</f>
        <v/>
      </c>
      <c r="AE105" s="120" t="str">
        <f>IFERROR(IF(OR(AND(AA105="Muy Baja",AC105="Leve"),AND(AA105="Muy Baja",AC105="Menor"),AND(AA105="Baja",AC105="Leve")),"Bajo",IF(OR(AND(AA105="Muy baja",AC105="Moderado"),AND(AA105="Baja",AC105="Menor"),AND(AA105="Baja",AC105="Moderado"),AND(AA105="Media",AC105="Leve"),AND(AA105="Media",AC105="Menor"),AND(AA105="Media",AC105="Moderado"),AND(AA105="Alta",AC105="Leve"),AND(AA105="Alta",AC105="Menor")),"Moderado",IF(OR(AND(AA105="Muy Baja",AC105="Mayor"),AND(AA105="Baja",AC105="Mayor"),AND(AA105="Media",AC105="Mayor"),AND(AA105="Alta",AC105="Moderado"),AND(AA105="Alta",AC105="Mayor"),AND(AA105="Muy Alta",AC105="Leve"),AND(AA105="Muy Alta",AC105="Menor"),AND(AA105="Muy Alta",AC105="Moderado"),AND(AA105="Muy Alta",AC105="Mayor")),"Alto",IF(OR(AND(AA105="Muy Baja",AC105="Catastrófico"),AND(AA105="Baja",AC105="Catastrófico"),AND(AA105="Media",AC105="Catastrófico"),AND(AA105="Alta",AC105="Catastrófico"),AND(AA105="Muy Alta",AC105="Catastrófico")),"Extremo","")))),"")</f>
        <v/>
      </c>
      <c r="AF105" s="116"/>
      <c r="AG105" s="121"/>
      <c r="AH105" s="122"/>
      <c r="AI105" s="123"/>
      <c r="AJ105" s="123"/>
      <c r="AK105" s="121"/>
      <c r="AL105" s="122"/>
    </row>
    <row r="106" spans="1:38" x14ac:dyDescent="0.3">
      <c r="A106" s="211"/>
      <c r="B106" s="139"/>
      <c r="C106" s="139"/>
      <c r="D106" s="212"/>
      <c r="E106" s="204"/>
      <c r="F106" s="141"/>
      <c r="G106" s="212"/>
      <c r="H106" s="140"/>
      <c r="I106" s="213"/>
      <c r="J106" s="200"/>
      <c r="K106" s="201"/>
      <c r="L106" s="203"/>
      <c r="M106" s="201">
        <f t="shared" ref="M106:M110" si="136">IF(NOT(ISERROR(MATCH(L106,_xlfn.ANCHORARRAY(E117),0))),K119&amp;"Por favor no seleccionar los criterios de impacto",L106)</f>
        <v>0</v>
      </c>
      <c r="N106" s="200"/>
      <c r="O106" s="201"/>
      <c r="P106" s="202"/>
      <c r="Q106" s="113">
        <v>2</v>
      </c>
      <c r="R106" s="114"/>
      <c r="S106" s="115" t="str">
        <f>IF(OR(T106="Preventivo",T106="Detectivo"),"Probabilidad",IF(T106="Correctivo","Impacto",""))</f>
        <v/>
      </c>
      <c r="T106" s="116"/>
      <c r="U106" s="116"/>
      <c r="V106" s="117" t="str">
        <f t="shared" ref="V106:V110" si="137">IF(AND(T106="Preventivo",U106="Automático"),"50%",IF(AND(T106="Preventivo",U106="Manual"),"40%",IF(AND(T106="Detectivo",U106="Automático"),"40%",IF(AND(T106="Detectivo",U106="Manual"),"30%",IF(AND(T106="Correctivo",U106="Automático"),"35%",IF(AND(T106="Correctivo",U106="Manual"),"25%",""))))))</f>
        <v/>
      </c>
      <c r="W106" s="116"/>
      <c r="X106" s="116"/>
      <c r="Y106" s="116"/>
      <c r="Z106" s="118" t="str">
        <f>IFERROR(IF(AND(S105="Probabilidad",S106="Probabilidad"),(AB105-(+AB105*V106)),IF(S106="Probabilidad",(K105-(+K105*V106)),IF(S106="Impacto",AB105,""))),"")</f>
        <v/>
      </c>
      <c r="AA106" s="119" t="str">
        <f t="shared" ref="AA106:AA110" si="138">IFERROR(IF(Z106="","",IF(Z106&lt;=0.2,"Muy Baja",IF(Z106&lt;=0.4,"Baja",IF(Z106&lt;=0.6,"Media",IF(Z106&lt;=0.8,"Alta","Muy Alta"))))),"")</f>
        <v/>
      </c>
      <c r="AB106" s="117" t="str">
        <f t="shared" ref="AB106:AB110" si="139">+Z106</f>
        <v/>
      </c>
      <c r="AC106" s="119" t="str">
        <f t="shared" ref="AC106:AC110" si="140">IFERROR(IF(AD106="","",IF(AD106&lt;=0.2,"Leve",IF(AD106&lt;=0.4,"Menor",IF(AD106&lt;=0.6,"Moderado",IF(AD106&lt;=0.8,"Mayor","Catastrófico"))))),"")</f>
        <v/>
      </c>
      <c r="AD106" s="117" t="str">
        <f>IFERROR(IF(AND(S105="Impacto",S106="Impacto"),(AD99-(+AD99*V106)),IF(S106="Impacto",($O$45-(+$O$45*V106)),IF(S106="Probabilidad",AD99,""))),"")</f>
        <v/>
      </c>
      <c r="AE106" s="120" t="str">
        <f t="shared" ref="AE106:AE107" si="141">IFERROR(IF(OR(AND(AA106="Muy Baja",AC106="Leve"),AND(AA106="Muy Baja",AC106="Menor"),AND(AA106="Baja",AC106="Leve")),"Bajo",IF(OR(AND(AA106="Muy baja",AC106="Moderado"),AND(AA106="Baja",AC106="Menor"),AND(AA106="Baja",AC106="Moderado"),AND(AA106="Media",AC106="Leve"),AND(AA106="Media",AC106="Menor"),AND(AA106="Media",AC106="Moderado"),AND(AA106="Alta",AC106="Leve"),AND(AA106="Alta",AC106="Menor")),"Moderado",IF(OR(AND(AA106="Muy Baja",AC106="Mayor"),AND(AA106="Baja",AC106="Mayor"),AND(AA106="Media",AC106="Mayor"),AND(AA106="Alta",AC106="Moderado"),AND(AA106="Alta",AC106="Mayor"),AND(AA106="Muy Alta",AC106="Leve"),AND(AA106="Muy Alta",AC106="Menor"),AND(AA106="Muy Alta",AC106="Moderado"),AND(AA106="Muy Alta",AC106="Mayor")),"Alto",IF(OR(AND(AA106="Muy Baja",AC106="Catastrófico"),AND(AA106="Baja",AC106="Catastrófico"),AND(AA106="Media",AC106="Catastrófico"),AND(AA106="Alta",AC106="Catastrófico"),AND(AA106="Muy Alta",AC106="Catastrófico")),"Extremo","")))),"")</f>
        <v/>
      </c>
      <c r="AF106" s="116"/>
      <c r="AG106" s="121"/>
      <c r="AH106" s="122"/>
      <c r="AI106" s="123"/>
      <c r="AJ106" s="123"/>
      <c r="AK106" s="121"/>
      <c r="AL106" s="122"/>
    </row>
    <row r="107" spans="1:38" x14ac:dyDescent="0.3">
      <c r="A107" s="211"/>
      <c r="B107" s="139"/>
      <c r="C107" s="139"/>
      <c r="D107" s="212"/>
      <c r="E107" s="204"/>
      <c r="F107" s="141"/>
      <c r="G107" s="212"/>
      <c r="H107" s="140"/>
      <c r="I107" s="213"/>
      <c r="J107" s="200"/>
      <c r="K107" s="201"/>
      <c r="L107" s="203"/>
      <c r="M107" s="201">
        <f t="shared" si="136"/>
        <v>0</v>
      </c>
      <c r="N107" s="200"/>
      <c r="O107" s="201"/>
      <c r="P107" s="202"/>
      <c r="Q107" s="113">
        <v>3</v>
      </c>
      <c r="R107" s="126"/>
      <c r="S107" s="115" t="str">
        <f>IF(OR(T107="Preventivo",T107="Detectivo"),"Probabilidad",IF(T107="Correctivo","Impacto",""))</f>
        <v/>
      </c>
      <c r="T107" s="116"/>
      <c r="U107" s="116"/>
      <c r="V107" s="117" t="str">
        <f t="shared" si="137"/>
        <v/>
      </c>
      <c r="W107" s="116"/>
      <c r="X107" s="116"/>
      <c r="Y107" s="116"/>
      <c r="Z107" s="118" t="str">
        <f>IFERROR(IF(AND(S106="Probabilidad",S107="Probabilidad"),(AB106-(+AB106*V107)),IF(AND(S106="Impacto",S107="Probabilidad"),(AB105-(+AB105*V107)),IF(S107="Impacto",AB106,""))),"")</f>
        <v/>
      </c>
      <c r="AA107" s="119" t="str">
        <f t="shared" si="138"/>
        <v/>
      </c>
      <c r="AB107" s="117" t="str">
        <f t="shared" si="139"/>
        <v/>
      </c>
      <c r="AC107" s="119" t="str">
        <f t="shared" si="140"/>
        <v/>
      </c>
      <c r="AD107" s="117" t="str">
        <f>IFERROR(IF(AND(S106="Impacto",S107="Impacto"),(AD106-(+AD106*V107)),IF(AND(S106="Probabilidad",S107="Impacto"),(AD105-(+AD105*V107)),IF(S107="Probabilidad",AD106,""))),"")</f>
        <v/>
      </c>
      <c r="AE107" s="120" t="str">
        <f t="shared" si="141"/>
        <v/>
      </c>
      <c r="AF107" s="116"/>
      <c r="AG107" s="121"/>
      <c r="AH107" s="122"/>
      <c r="AI107" s="123"/>
      <c r="AJ107" s="123"/>
      <c r="AK107" s="121"/>
      <c r="AL107" s="122"/>
    </row>
    <row r="108" spans="1:38" x14ac:dyDescent="0.3">
      <c r="A108" s="211"/>
      <c r="B108" s="139"/>
      <c r="C108" s="139"/>
      <c r="D108" s="212"/>
      <c r="E108" s="204"/>
      <c r="F108" s="141"/>
      <c r="G108" s="212"/>
      <c r="H108" s="140"/>
      <c r="I108" s="213"/>
      <c r="J108" s="200"/>
      <c r="K108" s="201"/>
      <c r="L108" s="203"/>
      <c r="M108" s="201">
        <f t="shared" si="136"/>
        <v>0</v>
      </c>
      <c r="N108" s="200"/>
      <c r="O108" s="201"/>
      <c r="P108" s="202"/>
      <c r="Q108" s="113">
        <v>4</v>
      </c>
      <c r="R108" s="114"/>
      <c r="S108" s="115" t="str">
        <f t="shared" ref="S108:S110" si="142">IF(OR(T108="Preventivo",T108="Detectivo"),"Probabilidad",IF(T108="Correctivo","Impacto",""))</f>
        <v/>
      </c>
      <c r="T108" s="116"/>
      <c r="U108" s="116"/>
      <c r="V108" s="117" t="str">
        <f t="shared" si="137"/>
        <v/>
      </c>
      <c r="W108" s="116"/>
      <c r="X108" s="116"/>
      <c r="Y108" s="116"/>
      <c r="Z108" s="118" t="str">
        <f t="shared" ref="Z108:Z110" si="143">IFERROR(IF(AND(S107="Probabilidad",S108="Probabilidad"),(AB107-(+AB107*V108)),IF(AND(S107="Impacto",S108="Probabilidad"),(AB106-(+AB106*V108)),IF(S108="Impacto",AB107,""))),"")</f>
        <v/>
      </c>
      <c r="AA108" s="119" t="str">
        <f t="shared" si="138"/>
        <v/>
      </c>
      <c r="AB108" s="117" t="str">
        <f t="shared" si="139"/>
        <v/>
      </c>
      <c r="AC108" s="119" t="str">
        <f t="shared" si="140"/>
        <v/>
      </c>
      <c r="AD108" s="117" t="str">
        <f t="shared" ref="AD108:AD110" si="144">IFERROR(IF(AND(S107="Impacto",S108="Impacto"),(AD107-(+AD107*V108)),IF(AND(S107="Probabilidad",S108="Impacto"),(AD106-(+AD106*V108)),IF(S108="Probabilidad",AD107,""))),"")</f>
        <v/>
      </c>
      <c r="AE108" s="120" t="str">
        <f>IFERROR(IF(OR(AND(AA108="Muy Baja",AC108="Leve"),AND(AA108="Muy Baja",AC108="Menor"),AND(AA108="Baja",AC108="Leve")),"Bajo",IF(OR(AND(AA108="Muy baja",AC108="Moderado"),AND(AA108="Baja",AC108="Menor"),AND(AA108="Baja",AC108="Moderado"),AND(AA108="Media",AC108="Leve"),AND(AA108="Media",AC108="Menor"),AND(AA108="Media",AC108="Moderado"),AND(AA108="Alta",AC108="Leve"),AND(AA108="Alta",AC108="Menor")),"Moderado",IF(OR(AND(AA108="Muy Baja",AC108="Mayor"),AND(AA108="Baja",AC108="Mayor"),AND(AA108="Media",AC108="Mayor"),AND(AA108="Alta",AC108="Moderado"),AND(AA108="Alta",AC108="Mayor"),AND(AA108="Muy Alta",AC108="Leve"),AND(AA108="Muy Alta",AC108="Menor"),AND(AA108="Muy Alta",AC108="Moderado"),AND(AA108="Muy Alta",AC108="Mayor")),"Alto",IF(OR(AND(AA108="Muy Baja",AC108="Catastrófico"),AND(AA108="Baja",AC108="Catastrófico"),AND(AA108="Media",AC108="Catastrófico"),AND(AA108="Alta",AC108="Catastrófico"),AND(AA108="Muy Alta",AC108="Catastrófico")),"Extremo","")))),"")</f>
        <v/>
      </c>
      <c r="AF108" s="116"/>
      <c r="AG108" s="121"/>
      <c r="AH108" s="122"/>
      <c r="AI108" s="123"/>
      <c r="AJ108" s="123"/>
      <c r="AK108" s="121"/>
      <c r="AL108" s="122"/>
    </row>
    <row r="109" spans="1:38" x14ac:dyDescent="0.3">
      <c r="A109" s="211"/>
      <c r="B109" s="139"/>
      <c r="C109" s="139"/>
      <c r="D109" s="212"/>
      <c r="E109" s="204"/>
      <c r="F109" s="141"/>
      <c r="G109" s="212"/>
      <c r="H109" s="140"/>
      <c r="I109" s="213"/>
      <c r="J109" s="200"/>
      <c r="K109" s="201"/>
      <c r="L109" s="203"/>
      <c r="M109" s="201">
        <f t="shared" si="136"/>
        <v>0</v>
      </c>
      <c r="N109" s="200"/>
      <c r="O109" s="201"/>
      <c r="P109" s="202"/>
      <c r="Q109" s="113">
        <v>5</v>
      </c>
      <c r="R109" s="114"/>
      <c r="S109" s="115" t="str">
        <f t="shared" si="142"/>
        <v/>
      </c>
      <c r="T109" s="116"/>
      <c r="U109" s="116"/>
      <c r="V109" s="117" t="str">
        <f t="shared" si="137"/>
        <v/>
      </c>
      <c r="W109" s="116"/>
      <c r="X109" s="116"/>
      <c r="Y109" s="116"/>
      <c r="Z109" s="118" t="str">
        <f t="shared" si="143"/>
        <v/>
      </c>
      <c r="AA109" s="119" t="str">
        <f t="shared" si="138"/>
        <v/>
      </c>
      <c r="AB109" s="117" t="str">
        <f t="shared" si="139"/>
        <v/>
      </c>
      <c r="AC109" s="119" t="str">
        <f t="shared" si="140"/>
        <v/>
      </c>
      <c r="AD109" s="117" t="str">
        <f t="shared" si="144"/>
        <v/>
      </c>
      <c r="AE109" s="120" t="str">
        <f t="shared" ref="AE109:AE110" si="145">IFERROR(IF(OR(AND(AA109="Muy Baja",AC109="Leve"),AND(AA109="Muy Baja",AC109="Menor"),AND(AA109="Baja",AC109="Leve")),"Bajo",IF(OR(AND(AA109="Muy baja",AC109="Moderado"),AND(AA109="Baja",AC109="Menor"),AND(AA109="Baja",AC109="Moderado"),AND(AA109="Media",AC109="Leve"),AND(AA109="Media",AC109="Menor"),AND(AA109="Media",AC109="Moderado"),AND(AA109="Alta",AC109="Leve"),AND(AA109="Alta",AC109="Menor")),"Moderado",IF(OR(AND(AA109="Muy Baja",AC109="Mayor"),AND(AA109="Baja",AC109="Mayor"),AND(AA109="Media",AC109="Mayor"),AND(AA109="Alta",AC109="Moderado"),AND(AA109="Alta",AC109="Mayor"),AND(AA109="Muy Alta",AC109="Leve"),AND(AA109="Muy Alta",AC109="Menor"),AND(AA109="Muy Alta",AC109="Moderado"),AND(AA109="Muy Alta",AC109="Mayor")),"Alto",IF(OR(AND(AA109="Muy Baja",AC109="Catastrófico"),AND(AA109="Baja",AC109="Catastrófico"),AND(AA109="Media",AC109="Catastrófico"),AND(AA109="Alta",AC109="Catastrófico"),AND(AA109="Muy Alta",AC109="Catastrófico")),"Extremo","")))),"")</f>
        <v/>
      </c>
      <c r="AF109" s="116"/>
      <c r="AG109" s="121"/>
      <c r="AH109" s="122"/>
      <c r="AI109" s="123"/>
      <c r="AJ109" s="123"/>
      <c r="AK109" s="121"/>
      <c r="AL109" s="122"/>
    </row>
    <row r="110" spans="1:38" x14ac:dyDescent="0.3">
      <c r="A110" s="211"/>
      <c r="B110" s="139"/>
      <c r="C110" s="139"/>
      <c r="D110" s="212"/>
      <c r="E110" s="204"/>
      <c r="F110" s="141"/>
      <c r="G110" s="212"/>
      <c r="H110" s="140"/>
      <c r="I110" s="213"/>
      <c r="J110" s="200"/>
      <c r="K110" s="201"/>
      <c r="L110" s="203"/>
      <c r="M110" s="201">
        <f t="shared" si="136"/>
        <v>0</v>
      </c>
      <c r="N110" s="200"/>
      <c r="O110" s="201"/>
      <c r="P110" s="202"/>
      <c r="Q110" s="113">
        <v>6</v>
      </c>
      <c r="R110" s="114"/>
      <c r="S110" s="115" t="str">
        <f t="shared" si="142"/>
        <v/>
      </c>
      <c r="T110" s="116"/>
      <c r="U110" s="116"/>
      <c r="V110" s="117" t="str">
        <f t="shared" si="137"/>
        <v/>
      </c>
      <c r="W110" s="116"/>
      <c r="X110" s="116"/>
      <c r="Y110" s="116"/>
      <c r="Z110" s="118" t="str">
        <f t="shared" si="143"/>
        <v/>
      </c>
      <c r="AA110" s="119" t="str">
        <f t="shared" si="138"/>
        <v/>
      </c>
      <c r="AB110" s="117" t="str">
        <f t="shared" si="139"/>
        <v/>
      </c>
      <c r="AC110" s="119" t="str">
        <f t="shared" si="140"/>
        <v/>
      </c>
      <c r="AD110" s="117" t="str">
        <f t="shared" si="144"/>
        <v/>
      </c>
      <c r="AE110" s="120" t="str">
        <f t="shared" si="145"/>
        <v/>
      </c>
      <c r="AF110" s="116"/>
      <c r="AG110" s="121"/>
      <c r="AH110" s="122"/>
      <c r="AI110" s="123"/>
      <c r="AJ110" s="123"/>
      <c r="AK110" s="121"/>
      <c r="AL110" s="122"/>
    </row>
    <row r="111" spans="1:38" x14ac:dyDescent="0.3">
      <c r="A111" s="211">
        <v>8</v>
      </c>
      <c r="B111" s="139"/>
      <c r="C111" s="139"/>
      <c r="D111" s="212"/>
      <c r="E111" s="204"/>
      <c r="F111" s="141"/>
      <c r="G111" s="212"/>
      <c r="H111" s="140"/>
      <c r="I111" s="213"/>
      <c r="J111" s="200" t="str">
        <f>IF(I111&lt;=0,"",IF(I111&lt;=2,"Muy Baja",IF(I111&lt;=24,"Baja",IF(I111&lt;=500,"Media",IF(I111&lt;=5000,"Alta","Muy Alta")))))</f>
        <v/>
      </c>
      <c r="K111" s="201" t="str">
        <f>IF(J111="","",IF(J111="Muy Baja",0.2,IF(J111="Baja",0.4,IF(J111="Media",0.6,IF(J111="Alta",0.8,IF(J111="Muy Alta",1,))))))</f>
        <v/>
      </c>
      <c r="L111" s="203"/>
      <c r="M111" s="201">
        <f>IF(NOT(ISERROR(MATCH(L111,'Tabla Impacto'!$B$221:$B$223,0))),'Tabla Impacto'!$F$223&amp;"Por favor no seleccionar los criterios de impacto(Afectación Económica o presupuestal y Pérdida Reputacional)",L111)</f>
        <v>0</v>
      </c>
      <c r="N111" s="200" t="str">
        <f>IF(OR(M111='Tabla Impacto'!$C$11,M111='Tabla Impacto'!$D$11),"Leve",IF(OR(M111='Tabla Impacto'!$C$12,M111='Tabla Impacto'!$D$12),"Menor",IF(OR(M111='Tabla Impacto'!$C$13,M111='Tabla Impacto'!$D$13),"Moderado",IF(OR(M111='Tabla Impacto'!$C$14,M111='Tabla Impacto'!$D$14),"Mayor",IF(OR(M111='Tabla Impacto'!$C$15,M111='Tabla Impacto'!$D$15),"Catastrófico","")))))</f>
        <v/>
      </c>
      <c r="O111" s="201" t="str">
        <f>IF(N111="","",IF(N111="Leve",0.2,IF(N111="Menor",0.4,IF(N111="Moderado",0.6,IF(N111="Mayor",0.8,IF(N111="Catastrófico",1,))))))</f>
        <v/>
      </c>
      <c r="P111" s="202" t="str">
        <f>IF(OR(AND(J111="Muy Baja",N111="Leve"),AND(J111="Muy Baja",N111="Menor"),AND(J111="Baja",N111="Leve")),"Bajo",IF(OR(AND(J111="Muy baja",N111="Moderado"),AND(J111="Baja",N111="Menor"),AND(J111="Baja",N111="Moderado"),AND(J111="Media",N111="Leve"),AND(J111="Media",N111="Menor"),AND(J111="Media",N111="Moderado"),AND(J111="Alta",N111="Leve"),AND(J111="Alta",N111="Menor")),"Moderado",IF(OR(AND(J111="Muy Baja",N111="Mayor"),AND(J111="Baja",N111="Mayor"),AND(J111="Media",N111="Mayor"),AND(J111="Alta",N111="Moderado"),AND(J111="Alta",N111="Mayor"),AND(J111="Muy Alta",N111="Leve"),AND(J111="Muy Alta",N111="Menor"),AND(J111="Muy Alta",N111="Moderado"),AND(J111="Muy Alta",N111="Mayor")),"Alto",IF(OR(AND(J111="Muy Baja",N111="Catastrófico"),AND(J111="Baja",N111="Catastrófico"),AND(J111="Media",N111="Catastrófico"),AND(J111="Alta",N111="Catastrófico"),AND(J111="Muy Alta",N111="Catastrófico")),"Extremo",""))))</f>
        <v/>
      </c>
      <c r="Q111" s="113">
        <v>1</v>
      </c>
      <c r="R111" s="114"/>
      <c r="S111" s="115" t="str">
        <f>IF(OR(T111="Preventivo",T111="Detectivo"),"Probabilidad",IF(T111="Correctivo","Impacto",""))</f>
        <v/>
      </c>
      <c r="T111" s="116"/>
      <c r="U111" s="116"/>
      <c r="V111" s="117" t="str">
        <f>IF(AND(T111="Preventivo",U111="Automático"),"50%",IF(AND(T111="Preventivo",U111="Manual"),"40%",IF(AND(T111="Detectivo",U111="Automático"),"40%",IF(AND(T111="Detectivo",U111="Manual"),"30%",IF(AND(T111="Correctivo",U111="Automático"),"35%",IF(AND(T111="Correctivo",U111="Manual"),"25%",""))))))</f>
        <v/>
      </c>
      <c r="W111" s="116"/>
      <c r="X111" s="116"/>
      <c r="Y111" s="116"/>
      <c r="Z111" s="118" t="str">
        <f>IFERROR(IF(S111="Probabilidad",(K111-(+K111*V111)),IF(S111="Impacto",K111,"")),"")</f>
        <v/>
      </c>
      <c r="AA111" s="119" t="str">
        <f>IFERROR(IF(Z111="","",IF(Z111&lt;=0.2,"Muy Baja",IF(Z111&lt;=0.4,"Baja",IF(Z111&lt;=0.6,"Media",IF(Z111&lt;=0.8,"Alta","Muy Alta"))))),"")</f>
        <v/>
      </c>
      <c r="AB111" s="117" t="str">
        <f>+Z111</f>
        <v/>
      </c>
      <c r="AC111" s="119" t="str">
        <f>IFERROR(IF(AD111="","",IF(AD111&lt;=0.2,"Leve",IF(AD111&lt;=0.4,"Menor",IF(AD111&lt;=0.6,"Moderado",IF(AD111&lt;=0.8,"Mayor","Catastrófico"))))),"")</f>
        <v/>
      </c>
      <c r="AD111" s="117" t="str">
        <f>IFERROR(IF(S111="Impacto",(O111-(+O111*V111)),IF(S111="Probabilidad",O111,"")),"")</f>
        <v/>
      </c>
      <c r="AE111" s="120" t="str">
        <f>IFERROR(IF(OR(AND(AA111="Muy Baja",AC111="Leve"),AND(AA111="Muy Baja",AC111="Menor"),AND(AA111="Baja",AC111="Leve")),"Bajo",IF(OR(AND(AA111="Muy baja",AC111="Moderado"),AND(AA111="Baja",AC111="Menor"),AND(AA111="Baja",AC111="Moderado"),AND(AA111="Media",AC111="Leve"),AND(AA111="Media",AC111="Menor"),AND(AA111="Media",AC111="Moderado"),AND(AA111="Alta",AC111="Leve"),AND(AA111="Alta",AC111="Menor")),"Moderado",IF(OR(AND(AA111="Muy Baja",AC111="Mayor"),AND(AA111="Baja",AC111="Mayor"),AND(AA111="Media",AC111="Mayor"),AND(AA111="Alta",AC111="Moderado"),AND(AA111="Alta",AC111="Mayor"),AND(AA111="Muy Alta",AC111="Leve"),AND(AA111="Muy Alta",AC111="Menor"),AND(AA111="Muy Alta",AC111="Moderado"),AND(AA111="Muy Alta",AC111="Mayor")),"Alto",IF(OR(AND(AA111="Muy Baja",AC111="Catastrófico"),AND(AA111="Baja",AC111="Catastrófico"),AND(AA111="Media",AC111="Catastrófico"),AND(AA111="Alta",AC111="Catastrófico"),AND(AA111="Muy Alta",AC111="Catastrófico")),"Extremo","")))),"")</f>
        <v/>
      </c>
      <c r="AF111" s="116"/>
      <c r="AG111" s="121"/>
      <c r="AH111" s="122"/>
      <c r="AI111" s="123"/>
      <c r="AJ111" s="123"/>
      <c r="AK111" s="121"/>
      <c r="AL111" s="122"/>
    </row>
    <row r="112" spans="1:38" x14ac:dyDescent="0.3">
      <c r="A112" s="211"/>
      <c r="B112" s="139"/>
      <c r="C112" s="139"/>
      <c r="D112" s="212"/>
      <c r="E112" s="204"/>
      <c r="F112" s="141"/>
      <c r="G112" s="212"/>
      <c r="H112" s="140"/>
      <c r="I112" s="213"/>
      <c r="J112" s="200"/>
      <c r="K112" s="201"/>
      <c r="L112" s="203"/>
      <c r="M112" s="201">
        <f>IF(NOT(ISERROR(MATCH(L112,_xlfn.ANCHORARRAY(E123),0))),K125&amp;"Por favor no seleccionar los criterios de impacto",L112)</f>
        <v>0</v>
      </c>
      <c r="N112" s="200"/>
      <c r="O112" s="201"/>
      <c r="P112" s="202"/>
      <c r="Q112" s="113">
        <v>2</v>
      </c>
      <c r="R112" s="114"/>
      <c r="S112" s="115" t="str">
        <f>IF(OR(T112="Preventivo",T112="Detectivo"),"Probabilidad",IF(T112="Correctivo","Impacto",""))</f>
        <v/>
      </c>
      <c r="T112" s="116"/>
      <c r="U112" s="116"/>
      <c r="V112" s="117" t="str">
        <f t="shared" ref="V112:V116" si="146">IF(AND(T112="Preventivo",U112="Automático"),"50%",IF(AND(T112="Preventivo",U112="Manual"),"40%",IF(AND(T112="Detectivo",U112="Automático"),"40%",IF(AND(T112="Detectivo",U112="Manual"),"30%",IF(AND(T112="Correctivo",U112="Automático"),"35%",IF(AND(T112="Correctivo",U112="Manual"),"25%",""))))))</f>
        <v/>
      </c>
      <c r="W112" s="116"/>
      <c r="X112" s="116"/>
      <c r="Y112" s="116"/>
      <c r="Z112" s="118" t="str">
        <f>IFERROR(IF(AND(S111="Probabilidad",S112="Probabilidad"),(AB111-(+AB111*V112)),IF(S112="Probabilidad",(K111-(+K111*V112)),IF(S112="Impacto",AB111,""))),"")</f>
        <v/>
      </c>
      <c r="AA112" s="119" t="str">
        <f t="shared" ref="AA112:AA116" si="147">IFERROR(IF(Z112="","",IF(Z112&lt;=0.2,"Muy Baja",IF(Z112&lt;=0.4,"Baja",IF(Z112&lt;=0.6,"Media",IF(Z112&lt;=0.8,"Alta","Muy Alta"))))),"")</f>
        <v/>
      </c>
      <c r="AB112" s="117" t="str">
        <f t="shared" ref="AB112:AB116" si="148">+Z112</f>
        <v/>
      </c>
      <c r="AC112" s="119" t="str">
        <f t="shared" ref="AC112:AC116" si="149">IFERROR(IF(AD112="","",IF(AD112&lt;=0.2,"Leve",IF(AD112&lt;=0.4,"Menor",IF(AD112&lt;=0.6,"Moderado",IF(AD112&lt;=0.8,"Mayor","Catastrófico"))))),"")</f>
        <v/>
      </c>
      <c r="AD112" s="117" t="str">
        <f>IFERROR(IF(AND(S111="Impacto",S112="Impacto"),(AD105-(+AD105*V112)),IF(S112="Impacto",($O$51-(+$O$51*V112)),IF(S112="Probabilidad",AD105,""))),"")</f>
        <v/>
      </c>
      <c r="AE112" s="120" t="str">
        <f t="shared" ref="AE112:AE113" si="150">IFERROR(IF(OR(AND(AA112="Muy Baja",AC112="Leve"),AND(AA112="Muy Baja",AC112="Menor"),AND(AA112="Baja",AC112="Leve")),"Bajo",IF(OR(AND(AA112="Muy baja",AC112="Moderado"),AND(AA112="Baja",AC112="Menor"),AND(AA112="Baja",AC112="Moderado"),AND(AA112="Media",AC112="Leve"),AND(AA112="Media",AC112="Menor"),AND(AA112="Media",AC112="Moderado"),AND(AA112="Alta",AC112="Leve"),AND(AA112="Alta",AC112="Menor")),"Moderado",IF(OR(AND(AA112="Muy Baja",AC112="Mayor"),AND(AA112="Baja",AC112="Mayor"),AND(AA112="Media",AC112="Mayor"),AND(AA112="Alta",AC112="Moderado"),AND(AA112="Alta",AC112="Mayor"),AND(AA112="Muy Alta",AC112="Leve"),AND(AA112="Muy Alta",AC112="Menor"),AND(AA112="Muy Alta",AC112="Moderado"),AND(AA112="Muy Alta",AC112="Mayor")),"Alto",IF(OR(AND(AA112="Muy Baja",AC112="Catastrófico"),AND(AA112="Baja",AC112="Catastrófico"),AND(AA112="Media",AC112="Catastrófico"),AND(AA112="Alta",AC112="Catastrófico"),AND(AA112="Muy Alta",AC112="Catastrófico")),"Extremo","")))),"")</f>
        <v/>
      </c>
      <c r="AF112" s="116"/>
      <c r="AG112" s="121"/>
      <c r="AH112" s="122"/>
      <c r="AI112" s="123"/>
      <c r="AJ112" s="123"/>
      <c r="AK112" s="121"/>
      <c r="AL112" s="122"/>
    </row>
    <row r="113" spans="1:38" x14ac:dyDescent="0.3">
      <c r="A113" s="211"/>
      <c r="B113" s="139"/>
      <c r="C113" s="139"/>
      <c r="D113" s="212"/>
      <c r="E113" s="204"/>
      <c r="F113" s="141"/>
      <c r="G113" s="212"/>
      <c r="H113" s="140"/>
      <c r="I113" s="213"/>
      <c r="J113" s="200"/>
      <c r="K113" s="201"/>
      <c r="L113" s="203"/>
      <c r="M113" s="201">
        <f>IF(NOT(ISERROR(MATCH(L113,_xlfn.ANCHORARRAY(E124),0))),K126&amp;"Por favor no seleccionar los criterios de impacto",L113)</f>
        <v>0</v>
      </c>
      <c r="N113" s="200"/>
      <c r="O113" s="201"/>
      <c r="P113" s="202"/>
      <c r="Q113" s="113">
        <v>3</v>
      </c>
      <c r="R113" s="126"/>
      <c r="S113" s="115" t="str">
        <f>IF(OR(T113="Preventivo",T113="Detectivo"),"Probabilidad",IF(T113="Correctivo","Impacto",""))</f>
        <v/>
      </c>
      <c r="T113" s="116"/>
      <c r="U113" s="116"/>
      <c r="V113" s="117" t="str">
        <f t="shared" si="146"/>
        <v/>
      </c>
      <c r="W113" s="116"/>
      <c r="X113" s="116"/>
      <c r="Y113" s="116"/>
      <c r="Z113" s="118" t="str">
        <f>IFERROR(IF(AND(S112="Probabilidad",S113="Probabilidad"),(AB112-(+AB112*V113)),IF(AND(S112="Impacto",S113="Probabilidad"),(AB111-(+AB111*V113)),IF(S113="Impacto",AB112,""))),"")</f>
        <v/>
      </c>
      <c r="AA113" s="119" t="str">
        <f t="shared" si="147"/>
        <v/>
      </c>
      <c r="AB113" s="117" t="str">
        <f t="shared" si="148"/>
        <v/>
      </c>
      <c r="AC113" s="119" t="str">
        <f t="shared" si="149"/>
        <v/>
      </c>
      <c r="AD113" s="117" t="str">
        <f>IFERROR(IF(AND(S112="Impacto",S113="Impacto"),(AD112-(+AD112*V113)),IF(AND(S112="Probabilidad",S113="Impacto"),(AD111-(+AD111*V113)),IF(S113="Probabilidad",AD112,""))),"")</f>
        <v/>
      </c>
      <c r="AE113" s="120" t="str">
        <f t="shared" si="150"/>
        <v/>
      </c>
      <c r="AF113" s="116"/>
      <c r="AG113" s="121"/>
      <c r="AH113" s="122"/>
      <c r="AI113" s="123"/>
      <c r="AJ113" s="123"/>
      <c r="AK113" s="121"/>
      <c r="AL113" s="122"/>
    </row>
    <row r="114" spans="1:38" x14ac:dyDescent="0.3">
      <c r="A114" s="211"/>
      <c r="B114" s="139"/>
      <c r="C114" s="139"/>
      <c r="D114" s="212"/>
      <c r="E114" s="204"/>
      <c r="F114" s="141"/>
      <c r="G114" s="212"/>
      <c r="H114" s="140"/>
      <c r="I114" s="213"/>
      <c r="J114" s="200"/>
      <c r="K114" s="201"/>
      <c r="L114" s="203"/>
      <c r="M114" s="201">
        <f>IF(NOT(ISERROR(MATCH(L114,_xlfn.ANCHORARRAY(E125),0))),K127&amp;"Por favor no seleccionar los criterios de impacto",L114)</f>
        <v>0</v>
      </c>
      <c r="N114" s="200"/>
      <c r="O114" s="201"/>
      <c r="P114" s="202"/>
      <c r="Q114" s="113">
        <v>4</v>
      </c>
      <c r="R114" s="114"/>
      <c r="S114" s="115" t="str">
        <f t="shared" ref="S114:S116" si="151">IF(OR(T114="Preventivo",T114="Detectivo"),"Probabilidad",IF(T114="Correctivo","Impacto",""))</f>
        <v/>
      </c>
      <c r="T114" s="116"/>
      <c r="U114" s="116"/>
      <c r="V114" s="117" t="str">
        <f t="shared" si="146"/>
        <v/>
      </c>
      <c r="W114" s="116"/>
      <c r="X114" s="116"/>
      <c r="Y114" s="116"/>
      <c r="Z114" s="118" t="str">
        <f t="shared" ref="Z114:Z116" si="152">IFERROR(IF(AND(S113="Probabilidad",S114="Probabilidad"),(AB113-(+AB113*V114)),IF(AND(S113="Impacto",S114="Probabilidad"),(AB112-(+AB112*V114)),IF(S114="Impacto",AB113,""))),"")</f>
        <v/>
      </c>
      <c r="AA114" s="119" t="str">
        <f t="shared" si="147"/>
        <v/>
      </c>
      <c r="AB114" s="117" t="str">
        <f t="shared" si="148"/>
        <v/>
      </c>
      <c r="AC114" s="119" t="str">
        <f t="shared" si="149"/>
        <v/>
      </c>
      <c r="AD114" s="117" t="str">
        <f t="shared" ref="AD114:AD116" si="153">IFERROR(IF(AND(S113="Impacto",S114="Impacto"),(AD113-(+AD113*V114)),IF(AND(S113="Probabilidad",S114="Impacto"),(AD112-(+AD112*V114)),IF(S114="Probabilidad",AD113,""))),"")</f>
        <v/>
      </c>
      <c r="AE114" s="120" t="str">
        <f>IFERROR(IF(OR(AND(AA114="Muy Baja",AC114="Leve"),AND(AA114="Muy Baja",AC114="Menor"),AND(AA114="Baja",AC114="Leve")),"Bajo",IF(OR(AND(AA114="Muy baja",AC114="Moderado"),AND(AA114="Baja",AC114="Menor"),AND(AA114="Baja",AC114="Moderado"),AND(AA114="Media",AC114="Leve"),AND(AA114="Media",AC114="Menor"),AND(AA114="Media",AC114="Moderado"),AND(AA114="Alta",AC114="Leve"),AND(AA114="Alta",AC114="Menor")),"Moderado",IF(OR(AND(AA114="Muy Baja",AC114="Mayor"),AND(AA114="Baja",AC114="Mayor"),AND(AA114="Media",AC114="Mayor"),AND(AA114="Alta",AC114="Moderado"),AND(AA114="Alta",AC114="Mayor"),AND(AA114="Muy Alta",AC114="Leve"),AND(AA114="Muy Alta",AC114="Menor"),AND(AA114="Muy Alta",AC114="Moderado"),AND(AA114="Muy Alta",AC114="Mayor")),"Alto",IF(OR(AND(AA114="Muy Baja",AC114="Catastrófico"),AND(AA114="Baja",AC114="Catastrófico"),AND(AA114="Media",AC114="Catastrófico"),AND(AA114="Alta",AC114="Catastrófico"),AND(AA114="Muy Alta",AC114="Catastrófico")),"Extremo","")))),"")</f>
        <v/>
      </c>
      <c r="AF114" s="116"/>
      <c r="AG114" s="121"/>
      <c r="AH114" s="122"/>
      <c r="AI114" s="123"/>
      <c r="AJ114" s="123"/>
      <c r="AK114" s="121"/>
      <c r="AL114" s="122"/>
    </row>
    <row r="115" spans="1:38" x14ac:dyDescent="0.3">
      <c r="A115" s="211"/>
      <c r="B115" s="139"/>
      <c r="C115" s="139"/>
      <c r="D115" s="212"/>
      <c r="E115" s="204"/>
      <c r="F115" s="141"/>
      <c r="G115" s="212"/>
      <c r="H115" s="140"/>
      <c r="I115" s="213"/>
      <c r="J115" s="200"/>
      <c r="K115" s="201"/>
      <c r="L115" s="203"/>
      <c r="M115" s="201">
        <f>IF(NOT(ISERROR(MATCH(L115,_xlfn.ANCHORARRAY(E126),0))),K128&amp;"Por favor no seleccionar los criterios de impacto",L115)</f>
        <v>0</v>
      </c>
      <c r="N115" s="200"/>
      <c r="O115" s="201"/>
      <c r="P115" s="202"/>
      <c r="Q115" s="113">
        <v>5</v>
      </c>
      <c r="R115" s="114"/>
      <c r="S115" s="115" t="str">
        <f t="shared" si="151"/>
        <v/>
      </c>
      <c r="T115" s="116"/>
      <c r="U115" s="116"/>
      <c r="V115" s="117" t="str">
        <f t="shared" si="146"/>
        <v/>
      </c>
      <c r="W115" s="116"/>
      <c r="X115" s="116"/>
      <c r="Y115" s="116"/>
      <c r="Z115" s="118" t="str">
        <f t="shared" si="152"/>
        <v/>
      </c>
      <c r="AA115" s="119" t="str">
        <f t="shared" si="147"/>
        <v/>
      </c>
      <c r="AB115" s="117" t="str">
        <f t="shared" si="148"/>
        <v/>
      </c>
      <c r="AC115" s="119" t="str">
        <f t="shared" si="149"/>
        <v/>
      </c>
      <c r="AD115" s="117" t="str">
        <f t="shared" si="153"/>
        <v/>
      </c>
      <c r="AE115" s="120" t="str">
        <f t="shared" ref="AE115:AE116" si="154">IFERROR(IF(OR(AND(AA115="Muy Baja",AC115="Leve"),AND(AA115="Muy Baja",AC115="Menor"),AND(AA115="Baja",AC115="Leve")),"Bajo",IF(OR(AND(AA115="Muy baja",AC115="Moderado"),AND(AA115="Baja",AC115="Menor"),AND(AA115="Baja",AC115="Moderado"),AND(AA115="Media",AC115="Leve"),AND(AA115="Media",AC115="Menor"),AND(AA115="Media",AC115="Moderado"),AND(AA115="Alta",AC115="Leve"),AND(AA115="Alta",AC115="Menor")),"Moderado",IF(OR(AND(AA115="Muy Baja",AC115="Mayor"),AND(AA115="Baja",AC115="Mayor"),AND(AA115="Media",AC115="Mayor"),AND(AA115="Alta",AC115="Moderado"),AND(AA115="Alta",AC115="Mayor"),AND(AA115="Muy Alta",AC115="Leve"),AND(AA115="Muy Alta",AC115="Menor"),AND(AA115="Muy Alta",AC115="Moderado"),AND(AA115="Muy Alta",AC115="Mayor")),"Alto",IF(OR(AND(AA115="Muy Baja",AC115="Catastrófico"),AND(AA115="Baja",AC115="Catastrófico"),AND(AA115="Media",AC115="Catastrófico"),AND(AA115="Alta",AC115="Catastrófico"),AND(AA115="Muy Alta",AC115="Catastrófico")),"Extremo","")))),"")</f>
        <v/>
      </c>
      <c r="AF115" s="116"/>
      <c r="AG115" s="121"/>
      <c r="AH115" s="122"/>
      <c r="AI115" s="123"/>
      <c r="AJ115" s="123"/>
      <c r="AK115" s="121"/>
      <c r="AL115" s="122"/>
    </row>
    <row r="116" spans="1:38" x14ac:dyDescent="0.3">
      <c r="A116" s="211"/>
      <c r="B116" s="139"/>
      <c r="C116" s="139"/>
      <c r="D116" s="212"/>
      <c r="E116" s="204"/>
      <c r="F116" s="141"/>
      <c r="G116" s="212"/>
      <c r="H116" s="140"/>
      <c r="I116" s="213"/>
      <c r="J116" s="200"/>
      <c r="K116" s="201"/>
      <c r="L116" s="203"/>
      <c r="M116" s="201">
        <f>IF(NOT(ISERROR(MATCH(L116,_xlfn.ANCHORARRAY(E127),0))),K130&amp;"Por favor no seleccionar los criterios de impacto",L116)</f>
        <v>0</v>
      </c>
      <c r="N116" s="200"/>
      <c r="O116" s="201"/>
      <c r="P116" s="202"/>
      <c r="Q116" s="113">
        <v>6</v>
      </c>
      <c r="R116" s="114"/>
      <c r="S116" s="115" t="str">
        <f t="shared" si="151"/>
        <v/>
      </c>
      <c r="T116" s="116"/>
      <c r="U116" s="116"/>
      <c r="V116" s="117" t="str">
        <f t="shared" si="146"/>
        <v/>
      </c>
      <c r="W116" s="116"/>
      <c r="X116" s="116"/>
      <c r="Y116" s="116"/>
      <c r="Z116" s="118" t="str">
        <f t="shared" si="152"/>
        <v/>
      </c>
      <c r="AA116" s="119" t="str">
        <f t="shared" si="147"/>
        <v/>
      </c>
      <c r="AB116" s="117" t="str">
        <f t="shared" si="148"/>
        <v/>
      </c>
      <c r="AC116" s="119" t="str">
        <f t="shared" si="149"/>
        <v/>
      </c>
      <c r="AD116" s="117" t="str">
        <f t="shared" si="153"/>
        <v/>
      </c>
      <c r="AE116" s="120" t="str">
        <f t="shared" si="154"/>
        <v/>
      </c>
      <c r="AF116" s="116"/>
      <c r="AG116" s="121"/>
      <c r="AH116" s="122"/>
      <c r="AI116" s="123"/>
      <c r="AJ116" s="123"/>
      <c r="AK116" s="121"/>
      <c r="AL116" s="122"/>
    </row>
    <row r="117" spans="1:38" x14ac:dyDescent="0.3">
      <c r="A117" s="211">
        <v>9</v>
      </c>
      <c r="B117" s="139"/>
      <c r="C117" s="139"/>
      <c r="D117" s="212"/>
      <c r="E117" s="204"/>
      <c r="F117" s="141"/>
      <c r="G117" s="212"/>
      <c r="H117" s="140"/>
      <c r="I117" s="213"/>
      <c r="J117" s="200" t="str">
        <f>IF(I117&lt;=0,"",IF(I117&lt;=2,"Muy Baja",IF(I117&lt;=24,"Baja",IF(I117&lt;=500,"Media",IF(I117&lt;=5000,"Alta","Muy Alta")))))</f>
        <v/>
      </c>
      <c r="K117" s="201" t="str">
        <f>IF(J117="","",IF(J117="Muy Baja",0.2,IF(J117="Baja",0.4,IF(J117="Media",0.6,IF(J117="Alta",0.8,IF(J117="Muy Alta",1,))))))</f>
        <v/>
      </c>
      <c r="L117" s="203"/>
      <c r="M117" s="201">
        <f>IF(NOT(ISERROR(MATCH(L117,'Tabla Impacto'!$B$221:$B$223,0))),'Tabla Impacto'!$F$223&amp;"Por favor no seleccionar los criterios de impacto(Afectación Económica o presupuestal y Pérdida Reputacional)",L117)</f>
        <v>0</v>
      </c>
      <c r="N117" s="200" t="str">
        <f>IF(OR(M117='Tabla Impacto'!$C$11,M117='Tabla Impacto'!$D$11),"Leve",IF(OR(M117='Tabla Impacto'!$C$12,M117='Tabla Impacto'!$D$12),"Menor",IF(OR(M117='Tabla Impacto'!$C$13,M117='Tabla Impacto'!$D$13),"Moderado",IF(OR(M117='Tabla Impacto'!$C$14,M117='Tabla Impacto'!$D$14),"Mayor",IF(OR(M117='Tabla Impacto'!$C$15,M117='Tabla Impacto'!$D$15),"Catastrófico","")))))</f>
        <v/>
      </c>
      <c r="O117" s="201" t="str">
        <f>IF(N117="","",IF(N117="Leve",0.2,IF(N117="Menor",0.4,IF(N117="Moderado",0.6,IF(N117="Mayor",0.8,IF(N117="Catastrófico",1,))))))</f>
        <v/>
      </c>
      <c r="P117" s="202" t="str">
        <f>IF(OR(AND(J117="Muy Baja",N117="Leve"),AND(J117="Muy Baja",N117="Menor"),AND(J117="Baja",N117="Leve")),"Bajo",IF(OR(AND(J117="Muy baja",N117="Moderado"),AND(J117="Baja",N117="Menor"),AND(J117="Baja",N117="Moderado"),AND(J117="Media",N117="Leve"),AND(J117="Media",N117="Menor"),AND(J117="Media",N117="Moderado"),AND(J117="Alta",N117="Leve"),AND(J117="Alta",N117="Menor")),"Moderado",IF(OR(AND(J117="Muy Baja",N117="Mayor"),AND(J117="Baja",N117="Mayor"),AND(J117="Media",N117="Mayor"),AND(J117="Alta",N117="Moderado"),AND(J117="Alta",N117="Mayor"),AND(J117="Muy Alta",N117="Leve"),AND(J117="Muy Alta",N117="Menor"),AND(J117="Muy Alta",N117="Moderado"),AND(J117="Muy Alta",N117="Mayor")),"Alto",IF(OR(AND(J117="Muy Baja",N117="Catastrófico"),AND(J117="Baja",N117="Catastrófico"),AND(J117="Media",N117="Catastrófico"),AND(J117="Alta",N117="Catastrófico"),AND(J117="Muy Alta",N117="Catastrófico")),"Extremo",""))))</f>
        <v/>
      </c>
      <c r="Q117" s="113">
        <v>1</v>
      </c>
      <c r="R117" s="114"/>
      <c r="S117" s="115" t="str">
        <f>IF(OR(T117="Preventivo",T117="Detectivo"),"Probabilidad",IF(T117="Correctivo","Impacto",""))</f>
        <v/>
      </c>
      <c r="T117" s="116"/>
      <c r="U117" s="116"/>
      <c r="V117" s="117" t="str">
        <f>IF(AND(T117="Preventivo",U117="Automático"),"50%",IF(AND(T117="Preventivo",U117="Manual"),"40%",IF(AND(T117="Detectivo",U117="Automático"),"40%",IF(AND(T117="Detectivo",U117="Manual"),"30%",IF(AND(T117="Correctivo",U117="Automático"),"35%",IF(AND(T117="Correctivo",U117="Manual"),"25%",""))))))</f>
        <v/>
      </c>
      <c r="W117" s="116"/>
      <c r="X117" s="116"/>
      <c r="Y117" s="116"/>
      <c r="Z117" s="118" t="str">
        <f>IFERROR(IF(S117="Probabilidad",(K117-(+K117*V117)),IF(S117="Impacto",K117,"")),"")</f>
        <v/>
      </c>
      <c r="AA117" s="119" t="str">
        <f>IFERROR(IF(Z117="","",IF(Z117&lt;=0.2,"Muy Baja",IF(Z117&lt;=0.4,"Baja",IF(Z117&lt;=0.6,"Media",IF(Z117&lt;=0.8,"Alta","Muy Alta"))))),"")</f>
        <v/>
      </c>
      <c r="AB117" s="117" t="str">
        <f>+Z117</f>
        <v/>
      </c>
      <c r="AC117" s="119" t="str">
        <f>IFERROR(IF(AD117="","",IF(AD117&lt;=0.2,"Leve",IF(AD117&lt;=0.4,"Menor",IF(AD117&lt;=0.6,"Moderado",IF(AD117&lt;=0.8,"Mayor","Catastrófico"))))),"")</f>
        <v/>
      </c>
      <c r="AD117" s="117" t="str">
        <f>IFERROR(IF(S117="Impacto",(O117-(+O117*V117)),IF(S117="Probabilidad",O117,"")),"")</f>
        <v/>
      </c>
      <c r="AE117" s="120" t="str">
        <f>IFERROR(IF(OR(AND(AA117="Muy Baja",AC117="Leve"),AND(AA117="Muy Baja",AC117="Menor"),AND(AA117="Baja",AC117="Leve")),"Bajo",IF(OR(AND(AA117="Muy baja",AC117="Moderado"),AND(AA117="Baja",AC117="Menor"),AND(AA117="Baja",AC117="Moderado"),AND(AA117="Media",AC117="Leve"),AND(AA117="Media",AC117="Menor"),AND(AA117="Media",AC117="Moderado"),AND(AA117="Alta",AC117="Leve"),AND(AA117="Alta",AC117="Menor")),"Moderado",IF(OR(AND(AA117="Muy Baja",AC117="Mayor"),AND(AA117="Baja",AC117="Mayor"),AND(AA117="Media",AC117="Mayor"),AND(AA117="Alta",AC117="Moderado"),AND(AA117="Alta",AC117="Mayor"),AND(AA117="Muy Alta",AC117="Leve"),AND(AA117="Muy Alta",AC117="Menor"),AND(AA117="Muy Alta",AC117="Moderado"),AND(AA117="Muy Alta",AC117="Mayor")),"Alto",IF(OR(AND(AA117="Muy Baja",AC117="Catastrófico"),AND(AA117="Baja",AC117="Catastrófico"),AND(AA117="Media",AC117="Catastrófico"),AND(AA117="Alta",AC117="Catastrófico"),AND(AA117="Muy Alta",AC117="Catastrófico")),"Extremo","")))),"")</f>
        <v/>
      </c>
      <c r="AF117" s="116"/>
      <c r="AG117" s="121"/>
      <c r="AH117" s="122"/>
      <c r="AI117" s="123"/>
      <c r="AJ117" s="123"/>
      <c r="AK117" s="121"/>
      <c r="AL117" s="122"/>
    </row>
    <row r="118" spans="1:38" x14ac:dyDescent="0.3">
      <c r="A118" s="211"/>
      <c r="B118" s="139"/>
      <c r="C118" s="139"/>
      <c r="D118" s="212"/>
      <c r="E118" s="204"/>
      <c r="F118" s="141"/>
      <c r="G118" s="212"/>
      <c r="H118" s="140"/>
      <c r="I118" s="213"/>
      <c r="J118" s="200"/>
      <c r="K118" s="201"/>
      <c r="L118" s="203"/>
      <c r="M118" s="201">
        <f>IF(NOT(ISERROR(MATCH(L118,_xlfn.ANCHORARRAY(E130),0))),K132&amp;"Por favor no seleccionar los criterios de impacto",L118)</f>
        <v>0</v>
      </c>
      <c r="N118" s="200"/>
      <c r="O118" s="201"/>
      <c r="P118" s="202"/>
      <c r="Q118" s="113">
        <v>2</v>
      </c>
      <c r="R118" s="114"/>
      <c r="S118" s="115" t="str">
        <f>IF(OR(T118="Preventivo",T118="Detectivo"),"Probabilidad",IF(T118="Correctivo","Impacto",""))</f>
        <v/>
      </c>
      <c r="T118" s="116"/>
      <c r="U118" s="116"/>
      <c r="V118" s="117" t="str">
        <f t="shared" ref="V118:V122" si="155">IF(AND(T118="Preventivo",U118="Automático"),"50%",IF(AND(T118="Preventivo",U118="Manual"),"40%",IF(AND(T118="Detectivo",U118="Automático"),"40%",IF(AND(T118="Detectivo",U118="Manual"),"30%",IF(AND(T118="Correctivo",U118="Automático"),"35%",IF(AND(T118="Correctivo",U118="Manual"),"25%",""))))))</f>
        <v/>
      </c>
      <c r="W118" s="116"/>
      <c r="X118" s="116"/>
      <c r="Y118" s="116"/>
      <c r="Z118" s="118" t="str">
        <f>IFERROR(IF(AND(S117="Probabilidad",S118="Probabilidad"),(AB117-(+AB117*V118)),IF(S118="Probabilidad",(K117-(+K117*V118)),IF(S118="Impacto",AB117,""))),"")</f>
        <v/>
      </c>
      <c r="AA118" s="119" t="str">
        <f t="shared" ref="AA118:AA122" si="156">IFERROR(IF(Z118="","",IF(Z118&lt;=0.2,"Muy Baja",IF(Z118&lt;=0.4,"Baja",IF(Z118&lt;=0.6,"Media",IF(Z118&lt;=0.8,"Alta","Muy Alta"))))),"")</f>
        <v/>
      </c>
      <c r="AB118" s="117" t="str">
        <f t="shared" ref="AB118:AB122" si="157">+Z118</f>
        <v/>
      </c>
      <c r="AC118" s="119" t="str">
        <f t="shared" ref="AC118:AC122" si="158">IFERROR(IF(AD118="","",IF(AD118&lt;=0.2,"Leve",IF(AD118&lt;=0.4,"Menor",IF(AD118&lt;=0.6,"Moderado",IF(AD118&lt;=0.8,"Mayor","Catastrófico"))))),"")</f>
        <v/>
      </c>
      <c r="AD118" s="117" t="str">
        <f>IFERROR(IF(AND(S117="Impacto",S118="Impacto"),(AD111-(+AD111*V118)),IF(S118="Impacto",($O$57-(+$O$57*V118)),IF(S118="Probabilidad",AD111,""))),"")</f>
        <v/>
      </c>
      <c r="AE118" s="120" t="str">
        <f t="shared" ref="AE118:AE119" si="159">IFERROR(IF(OR(AND(AA118="Muy Baja",AC118="Leve"),AND(AA118="Muy Baja",AC118="Menor"),AND(AA118="Baja",AC118="Leve")),"Bajo",IF(OR(AND(AA118="Muy baja",AC118="Moderado"),AND(AA118="Baja",AC118="Menor"),AND(AA118="Baja",AC118="Moderado"),AND(AA118="Media",AC118="Leve"),AND(AA118="Media",AC118="Menor"),AND(AA118="Media",AC118="Moderado"),AND(AA118="Alta",AC118="Leve"),AND(AA118="Alta",AC118="Menor")),"Moderado",IF(OR(AND(AA118="Muy Baja",AC118="Mayor"),AND(AA118="Baja",AC118="Mayor"),AND(AA118="Media",AC118="Mayor"),AND(AA118="Alta",AC118="Moderado"),AND(AA118="Alta",AC118="Mayor"),AND(AA118="Muy Alta",AC118="Leve"),AND(AA118="Muy Alta",AC118="Menor"),AND(AA118="Muy Alta",AC118="Moderado"),AND(AA118="Muy Alta",AC118="Mayor")),"Alto",IF(OR(AND(AA118="Muy Baja",AC118="Catastrófico"),AND(AA118="Baja",AC118="Catastrófico"),AND(AA118="Media",AC118="Catastrófico"),AND(AA118="Alta",AC118="Catastrófico"),AND(AA118="Muy Alta",AC118="Catastrófico")),"Extremo","")))),"")</f>
        <v/>
      </c>
      <c r="AF118" s="116"/>
      <c r="AG118" s="121"/>
      <c r="AH118" s="122"/>
      <c r="AI118" s="123"/>
      <c r="AJ118" s="123"/>
      <c r="AK118" s="121"/>
      <c r="AL118" s="122"/>
    </row>
    <row r="119" spans="1:38" x14ac:dyDescent="0.3">
      <c r="A119" s="211"/>
      <c r="B119" s="139"/>
      <c r="C119" s="139"/>
      <c r="D119" s="212"/>
      <c r="E119" s="204"/>
      <c r="F119" s="141"/>
      <c r="G119" s="212"/>
      <c r="H119" s="140"/>
      <c r="I119" s="213"/>
      <c r="J119" s="200"/>
      <c r="K119" s="201"/>
      <c r="L119" s="203"/>
      <c r="M119" s="201">
        <f>IF(NOT(ISERROR(MATCH(L119,_xlfn.ANCHORARRAY(E131),0))),K133&amp;"Por favor no seleccionar los criterios de impacto",L119)</f>
        <v>0</v>
      </c>
      <c r="N119" s="200"/>
      <c r="O119" s="201"/>
      <c r="P119" s="202"/>
      <c r="Q119" s="113">
        <v>3</v>
      </c>
      <c r="R119" s="126"/>
      <c r="S119" s="115" t="str">
        <f>IF(OR(T119="Preventivo",T119="Detectivo"),"Probabilidad",IF(T119="Correctivo","Impacto",""))</f>
        <v/>
      </c>
      <c r="T119" s="116"/>
      <c r="U119" s="116"/>
      <c r="V119" s="117" t="str">
        <f t="shared" si="155"/>
        <v/>
      </c>
      <c r="W119" s="116"/>
      <c r="X119" s="116"/>
      <c r="Y119" s="116"/>
      <c r="Z119" s="118" t="str">
        <f>IFERROR(IF(AND(S118="Probabilidad",S119="Probabilidad"),(AB118-(+AB118*V119)),IF(AND(S118="Impacto",S119="Probabilidad"),(AB117-(+AB117*V119)),IF(S119="Impacto",AB118,""))),"")</f>
        <v/>
      </c>
      <c r="AA119" s="119" t="str">
        <f t="shared" si="156"/>
        <v/>
      </c>
      <c r="AB119" s="117" t="str">
        <f t="shared" si="157"/>
        <v/>
      </c>
      <c r="AC119" s="119" t="str">
        <f t="shared" si="158"/>
        <v/>
      </c>
      <c r="AD119" s="117" t="str">
        <f>IFERROR(IF(AND(S118="Impacto",S119="Impacto"),(AD118-(+AD118*V119)),IF(AND(S118="Probabilidad",S119="Impacto"),(AD117-(+AD117*V119)),IF(S119="Probabilidad",AD118,""))),"")</f>
        <v/>
      </c>
      <c r="AE119" s="120" t="str">
        <f t="shared" si="159"/>
        <v/>
      </c>
      <c r="AF119" s="116"/>
      <c r="AG119" s="121"/>
      <c r="AH119" s="122"/>
      <c r="AI119" s="123"/>
      <c r="AJ119" s="123"/>
      <c r="AK119" s="121"/>
      <c r="AL119" s="122"/>
    </row>
    <row r="120" spans="1:38" x14ac:dyDescent="0.3">
      <c r="A120" s="211"/>
      <c r="B120" s="139"/>
      <c r="C120" s="139"/>
      <c r="D120" s="212"/>
      <c r="E120" s="204"/>
      <c r="F120" s="141"/>
      <c r="G120" s="212"/>
      <c r="H120" s="140"/>
      <c r="I120" s="213"/>
      <c r="J120" s="200"/>
      <c r="K120" s="201"/>
      <c r="L120" s="203"/>
      <c r="M120" s="201">
        <f>IF(NOT(ISERROR(MATCH(L120,_xlfn.ANCHORARRAY(E132),0))),K134&amp;"Por favor no seleccionar los criterios de impacto",L120)</f>
        <v>0</v>
      </c>
      <c r="N120" s="200"/>
      <c r="O120" s="201"/>
      <c r="P120" s="202"/>
      <c r="Q120" s="113">
        <v>4</v>
      </c>
      <c r="R120" s="114"/>
      <c r="S120" s="115" t="str">
        <f t="shared" ref="S120:S122" si="160">IF(OR(T120="Preventivo",T120="Detectivo"),"Probabilidad",IF(T120="Correctivo","Impacto",""))</f>
        <v/>
      </c>
      <c r="T120" s="116"/>
      <c r="U120" s="116"/>
      <c r="V120" s="117" t="str">
        <f t="shared" si="155"/>
        <v/>
      </c>
      <c r="W120" s="116"/>
      <c r="X120" s="116"/>
      <c r="Y120" s="116"/>
      <c r="Z120" s="118" t="str">
        <f t="shared" ref="Z120:Z122" si="161">IFERROR(IF(AND(S119="Probabilidad",S120="Probabilidad"),(AB119-(+AB119*V120)),IF(AND(S119="Impacto",S120="Probabilidad"),(AB118-(+AB118*V120)),IF(S120="Impacto",AB119,""))),"")</f>
        <v/>
      </c>
      <c r="AA120" s="119" t="str">
        <f t="shared" si="156"/>
        <v/>
      </c>
      <c r="AB120" s="117" t="str">
        <f t="shared" si="157"/>
        <v/>
      </c>
      <c r="AC120" s="119" t="str">
        <f t="shared" si="158"/>
        <v/>
      </c>
      <c r="AD120" s="117" t="str">
        <f t="shared" ref="AD120:AD122" si="162">IFERROR(IF(AND(S119="Impacto",S120="Impacto"),(AD119-(+AD119*V120)),IF(AND(S119="Probabilidad",S120="Impacto"),(AD118-(+AD118*V120)),IF(S120="Probabilidad",AD119,""))),"")</f>
        <v/>
      </c>
      <c r="AE120" s="120" t="str">
        <f>IFERROR(IF(OR(AND(AA120="Muy Baja",AC120="Leve"),AND(AA120="Muy Baja",AC120="Menor"),AND(AA120="Baja",AC120="Leve")),"Bajo",IF(OR(AND(AA120="Muy baja",AC120="Moderado"),AND(AA120="Baja",AC120="Menor"),AND(AA120="Baja",AC120="Moderado"),AND(AA120="Media",AC120="Leve"),AND(AA120="Media",AC120="Menor"),AND(AA120="Media",AC120="Moderado"),AND(AA120="Alta",AC120="Leve"),AND(AA120="Alta",AC120="Menor")),"Moderado",IF(OR(AND(AA120="Muy Baja",AC120="Mayor"),AND(AA120="Baja",AC120="Mayor"),AND(AA120="Media",AC120="Mayor"),AND(AA120="Alta",AC120="Moderado"),AND(AA120="Alta",AC120="Mayor"),AND(AA120="Muy Alta",AC120="Leve"),AND(AA120="Muy Alta",AC120="Menor"),AND(AA120="Muy Alta",AC120="Moderado"),AND(AA120="Muy Alta",AC120="Mayor")),"Alto",IF(OR(AND(AA120="Muy Baja",AC120="Catastrófico"),AND(AA120="Baja",AC120="Catastrófico"),AND(AA120="Media",AC120="Catastrófico"),AND(AA120="Alta",AC120="Catastrófico"),AND(AA120="Muy Alta",AC120="Catastrófico")),"Extremo","")))),"")</f>
        <v/>
      </c>
      <c r="AF120" s="116"/>
      <c r="AG120" s="121"/>
      <c r="AH120" s="122"/>
      <c r="AI120" s="123"/>
      <c r="AJ120" s="123"/>
      <c r="AK120" s="121"/>
      <c r="AL120" s="122"/>
    </row>
    <row r="121" spans="1:38" x14ac:dyDescent="0.3">
      <c r="A121" s="211"/>
      <c r="B121" s="139"/>
      <c r="C121" s="139"/>
      <c r="D121" s="212"/>
      <c r="E121" s="204"/>
      <c r="F121" s="141"/>
      <c r="G121" s="212"/>
      <c r="H121" s="140"/>
      <c r="I121" s="213"/>
      <c r="J121" s="200"/>
      <c r="K121" s="201"/>
      <c r="L121" s="203"/>
      <c r="M121" s="201">
        <f>IF(NOT(ISERROR(MATCH(L121,_xlfn.ANCHORARRAY(E133),0))),K135&amp;"Por favor no seleccionar los criterios de impacto",L121)</f>
        <v>0</v>
      </c>
      <c r="N121" s="200"/>
      <c r="O121" s="201"/>
      <c r="P121" s="202"/>
      <c r="Q121" s="113">
        <v>5</v>
      </c>
      <c r="R121" s="114"/>
      <c r="S121" s="115" t="str">
        <f t="shared" si="160"/>
        <v/>
      </c>
      <c r="T121" s="116"/>
      <c r="U121" s="116"/>
      <c r="V121" s="117" t="str">
        <f t="shared" si="155"/>
        <v/>
      </c>
      <c r="W121" s="116"/>
      <c r="X121" s="116"/>
      <c r="Y121" s="116"/>
      <c r="Z121" s="118" t="str">
        <f t="shared" si="161"/>
        <v/>
      </c>
      <c r="AA121" s="119" t="str">
        <f t="shared" si="156"/>
        <v/>
      </c>
      <c r="AB121" s="117" t="str">
        <f t="shared" si="157"/>
        <v/>
      </c>
      <c r="AC121" s="119" t="str">
        <f t="shared" si="158"/>
        <v/>
      </c>
      <c r="AD121" s="117" t="str">
        <f t="shared" si="162"/>
        <v/>
      </c>
      <c r="AE121" s="120" t="str">
        <f t="shared" ref="AE121:AE122" si="163">IFERROR(IF(OR(AND(AA121="Muy Baja",AC121="Leve"),AND(AA121="Muy Baja",AC121="Menor"),AND(AA121="Baja",AC121="Leve")),"Bajo",IF(OR(AND(AA121="Muy baja",AC121="Moderado"),AND(AA121="Baja",AC121="Menor"),AND(AA121="Baja",AC121="Moderado"),AND(AA121="Media",AC121="Leve"),AND(AA121="Media",AC121="Menor"),AND(AA121="Media",AC121="Moderado"),AND(AA121="Alta",AC121="Leve"),AND(AA121="Alta",AC121="Menor")),"Moderado",IF(OR(AND(AA121="Muy Baja",AC121="Mayor"),AND(AA121="Baja",AC121="Mayor"),AND(AA121="Media",AC121="Mayor"),AND(AA121="Alta",AC121="Moderado"),AND(AA121="Alta",AC121="Mayor"),AND(AA121="Muy Alta",AC121="Leve"),AND(AA121="Muy Alta",AC121="Menor"),AND(AA121="Muy Alta",AC121="Moderado"),AND(AA121="Muy Alta",AC121="Mayor")),"Alto",IF(OR(AND(AA121="Muy Baja",AC121="Catastrófico"),AND(AA121="Baja",AC121="Catastrófico"),AND(AA121="Media",AC121="Catastrófico"),AND(AA121="Alta",AC121="Catastrófico"),AND(AA121="Muy Alta",AC121="Catastrófico")),"Extremo","")))),"")</f>
        <v/>
      </c>
      <c r="AF121" s="116"/>
      <c r="AG121" s="121"/>
      <c r="AH121" s="122"/>
      <c r="AI121" s="123"/>
      <c r="AJ121" s="123"/>
      <c r="AK121" s="121"/>
      <c r="AL121" s="122"/>
    </row>
    <row r="122" spans="1:38" x14ac:dyDescent="0.3">
      <c r="A122" s="211"/>
      <c r="B122" s="139"/>
      <c r="C122" s="139"/>
      <c r="D122" s="212"/>
      <c r="E122" s="204"/>
      <c r="F122" s="141"/>
      <c r="G122" s="212"/>
      <c r="H122" s="140"/>
      <c r="I122" s="213"/>
      <c r="J122" s="200"/>
      <c r="K122" s="201"/>
      <c r="L122" s="203"/>
      <c r="M122" s="201">
        <f>IF(NOT(ISERROR(MATCH(L122,_xlfn.ANCHORARRAY(E134),0))),K136&amp;"Por favor no seleccionar los criterios de impacto",L122)</f>
        <v>0</v>
      </c>
      <c r="N122" s="200"/>
      <c r="O122" s="201"/>
      <c r="P122" s="202"/>
      <c r="Q122" s="113">
        <v>6</v>
      </c>
      <c r="R122" s="114"/>
      <c r="S122" s="115" t="str">
        <f t="shared" si="160"/>
        <v/>
      </c>
      <c r="T122" s="116"/>
      <c r="U122" s="116"/>
      <c r="V122" s="117" t="str">
        <f t="shared" si="155"/>
        <v/>
      </c>
      <c r="W122" s="116"/>
      <c r="X122" s="116"/>
      <c r="Y122" s="116"/>
      <c r="Z122" s="118" t="str">
        <f t="shared" si="161"/>
        <v/>
      </c>
      <c r="AA122" s="119" t="str">
        <f t="shared" si="156"/>
        <v/>
      </c>
      <c r="AB122" s="117" t="str">
        <f t="shared" si="157"/>
        <v/>
      </c>
      <c r="AC122" s="119" t="str">
        <f t="shared" si="158"/>
        <v/>
      </c>
      <c r="AD122" s="117" t="str">
        <f t="shared" si="162"/>
        <v/>
      </c>
      <c r="AE122" s="120" t="str">
        <f t="shared" si="163"/>
        <v/>
      </c>
      <c r="AF122" s="116"/>
      <c r="AG122" s="121"/>
      <c r="AH122" s="122"/>
      <c r="AI122" s="123"/>
      <c r="AJ122" s="123"/>
      <c r="AK122" s="121"/>
      <c r="AL122" s="122"/>
    </row>
    <row r="123" spans="1:38" x14ac:dyDescent="0.3">
      <c r="A123" s="211">
        <v>10</v>
      </c>
      <c r="B123" s="139"/>
      <c r="C123" s="139"/>
      <c r="D123" s="212"/>
      <c r="E123" s="204"/>
      <c r="F123" s="141"/>
      <c r="G123" s="212"/>
      <c r="H123" s="140"/>
      <c r="I123" s="213"/>
      <c r="J123" s="200" t="str">
        <f>IF(I123&lt;=0,"",IF(I123&lt;=2,"Muy Baja",IF(I123&lt;=24,"Baja",IF(I123&lt;=500,"Media",IF(I123&lt;=5000,"Alta","Muy Alta")))))</f>
        <v/>
      </c>
      <c r="K123" s="201" t="str">
        <f>IF(J123="","",IF(J123="Muy Baja",0.2,IF(J123="Baja",0.4,IF(J123="Media",0.6,IF(J123="Alta",0.8,IF(J123="Muy Alta",1,))))))</f>
        <v/>
      </c>
      <c r="L123" s="203"/>
      <c r="M123" s="201">
        <f>IF(NOT(ISERROR(MATCH(L123,'Tabla Impacto'!$B$221:$B$223,0))),'Tabla Impacto'!$F$223&amp;"Por favor no seleccionar los criterios de impacto(Afectación Económica o presupuestal y Pérdida Reputacional)",L123)</f>
        <v>0</v>
      </c>
      <c r="N123" s="200" t="str">
        <f>IF(OR(M123='Tabla Impacto'!$C$11,M123='Tabla Impacto'!$D$11),"Leve",IF(OR(M123='Tabla Impacto'!$C$12,M123='Tabla Impacto'!$D$12),"Menor",IF(OR(M123='Tabla Impacto'!$C$13,M123='Tabla Impacto'!$D$13),"Moderado",IF(OR(M123='Tabla Impacto'!$C$14,M123='Tabla Impacto'!$D$14),"Mayor",IF(OR(M123='Tabla Impacto'!$C$15,M123='Tabla Impacto'!$D$15),"Catastrófico","")))))</f>
        <v/>
      </c>
      <c r="O123" s="201" t="str">
        <f>IF(N123="","",IF(N123="Leve",0.2,IF(N123="Menor",0.4,IF(N123="Moderado",0.6,IF(N123="Mayor",0.8,IF(N123="Catastrófico",1,))))))</f>
        <v/>
      </c>
      <c r="P123" s="202" t="str">
        <f>IF(OR(AND(J123="Muy Baja",N123="Leve"),AND(J123="Muy Baja",N123="Menor"),AND(J123="Baja",N123="Leve")),"Bajo",IF(OR(AND(J123="Muy baja",N123="Moderado"),AND(J123="Baja",N123="Menor"),AND(J123="Baja",N123="Moderado"),AND(J123="Media",N123="Leve"),AND(J123="Media",N123="Menor"),AND(J123="Media",N123="Moderado"),AND(J123="Alta",N123="Leve"),AND(J123="Alta",N123="Menor")),"Moderado",IF(OR(AND(J123="Muy Baja",N123="Mayor"),AND(J123="Baja",N123="Mayor"),AND(J123="Media",N123="Mayor"),AND(J123="Alta",N123="Moderado"),AND(J123="Alta",N123="Mayor"),AND(J123="Muy Alta",N123="Leve"),AND(J123="Muy Alta",N123="Menor"),AND(J123="Muy Alta",N123="Moderado"),AND(J123="Muy Alta",N123="Mayor")),"Alto",IF(OR(AND(J123="Muy Baja",N123="Catastrófico"),AND(J123="Baja",N123="Catastrófico"),AND(J123="Media",N123="Catastrófico"),AND(J123="Alta",N123="Catastrófico"),AND(J123="Muy Alta",N123="Catastrófico")),"Extremo",""))))</f>
        <v/>
      </c>
      <c r="Q123" s="113">
        <v>1</v>
      </c>
      <c r="R123" s="114"/>
      <c r="S123" s="115" t="str">
        <f>IF(OR(T123="Preventivo",T123="Detectivo"),"Probabilidad",IF(T123="Correctivo","Impacto",""))</f>
        <v/>
      </c>
      <c r="T123" s="116"/>
      <c r="U123" s="116"/>
      <c r="V123" s="117" t="str">
        <f>IF(AND(T123="Preventivo",U123="Automático"),"50%",IF(AND(T123="Preventivo",U123="Manual"),"40%",IF(AND(T123="Detectivo",U123="Automático"),"40%",IF(AND(T123="Detectivo",U123="Manual"),"30%",IF(AND(T123="Correctivo",U123="Automático"),"35%",IF(AND(T123="Correctivo",U123="Manual"),"25%",""))))))</f>
        <v/>
      </c>
      <c r="W123" s="116"/>
      <c r="X123" s="116"/>
      <c r="Y123" s="116"/>
      <c r="Z123" s="118" t="str">
        <f>IFERROR(IF(S123="Probabilidad",(K123-(+K123*V123)),IF(S123="Impacto",K123,"")),"")</f>
        <v/>
      </c>
      <c r="AA123" s="119" t="str">
        <f>IFERROR(IF(Z123="","",IF(Z123&lt;=0.2,"Muy Baja",IF(Z123&lt;=0.4,"Baja",IF(Z123&lt;=0.6,"Media",IF(Z123&lt;=0.8,"Alta","Muy Alta"))))),"")</f>
        <v/>
      </c>
      <c r="AB123" s="117" t="str">
        <f>+Z123</f>
        <v/>
      </c>
      <c r="AC123" s="119" t="str">
        <f>IFERROR(IF(AD123="","",IF(AD123&lt;=0.2,"Leve",IF(AD123&lt;=0.4,"Menor",IF(AD123&lt;=0.6,"Moderado",IF(AD123&lt;=0.8,"Mayor","Catastrófico"))))),"")</f>
        <v/>
      </c>
      <c r="AD123" s="117" t="str">
        <f>IFERROR(IF(S123="Impacto",(O123-(+O123*V123)),IF(S123="Probabilidad",O123,"")),"")</f>
        <v/>
      </c>
      <c r="AE123" s="120" t="str">
        <f>IFERROR(IF(OR(AND(AA123="Muy Baja",AC123="Leve"),AND(AA123="Muy Baja",AC123="Menor"),AND(AA123="Baja",AC123="Leve")),"Bajo",IF(OR(AND(AA123="Muy baja",AC123="Moderado"),AND(AA123="Baja",AC123="Menor"),AND(AA123="Baja",AC123="Moderado"),AND(AA123="Media",AC123="Leve"),AND(AA123="Media",AC123="Menor"),AND(AA123="Media",AC123="Moderado"),AND(AA123="Alta",AC123="Leve"),AND(AA123="Alta",AC123="Menor")),"Moderado",IF(OR(AND(AA123="Muy Baja",AC123="Mayor"),AND(AA123="Baja",AC123="Mayor"),AND(AA123="Media",AC123="Mayor"),AND(AA123="Alta",AC123="Moderado"),AND(AA123="Alta",AC123="Mayor"),AND(AA123="Muy Alta",AC123="Leve"),AND(AA123="Muy Alta",AC123="Menor"),AND(AA123="Muy Alta",AC123="Moderado"),AND(AA123="Muy Alta",AC123="Mayor")),"Alto",IF(OR(AND(AA123="Muy Baja",AC123="Catastrófico"),AND(AA123="Baja",AC123="Catastrófico"),AND(AA123="Media",AC123="Catastrófico"),AND(AA123="Alta",AC123="Catastrófico"),AND(AA123="Muy Alta",AC123="Catastrófico")),"Extremo","")))),"")</f>
        <v/>
      </c>
      <c r="AF123" s="116"/>
      <c r="AG123" s="121"/>
      <c r="AH123" s="122"/>
      <c r="AI123" s="123"/>
      <c r="AJ123" s="123"/>
      <c r="AK123" s="121"/>
      <c r="AL123" s="122"/>
    </row>
    <row r="124" spans="1:38" x14ac:dyDescent="0.3">
      <c r="A124" s="211"/>
      <c r="B124" s="139"/>
      <c r="C124" s="139"/>
      <c r="D124" s="212"/>
      <c r="E124" s="204"/>
      <c r="F124" s="141"/>
      <c r="G124" s="212"/>
      <c r="H124" s="140"/>
      <c r="I124" s="213"/>
      <c r="J124" s="200"/>
      <c r="K124" s="201"/>
      <c r="L124" s="203"/>
      <c r="M124" s="201">
        <f>IF(NOT(ISERROR(MATCH(L124,_xlfn.ANCHORARRAY(E136),0))),K138&amp;"Por favor no seleccionar los criterios de impacto",L124)</f>
        <v>0</v>
      </c>
      <c r="N124" s="200"/>
      <c r="O124" s="201"/>
      <c r="P124" s="202"/>
      <c r="Q124" s="113">
        <v>2</v>
      </c>
      <c r="R124" s="114"/>
      <c r="S124" s="115" t="str">
        <f>IF(OR(T124="Preventivo",T124="Detectivo"),"Probabilidad",IF(T124="Correctivo","Impacto",""))</f>
        <v/>
      </c>
      <c r="T124" s="116"/>
      <c r="U124" s="116"/>
      <c r="V124" s="117" t="str">
        <f t="shared" ref="V124:V128" si="164">IF(AND(T124="Preventivo",U124="Automático"),"50%",IF(AND(T124="Preventivo",U124="Manual"),"40%",IF(AND(T124="Detectivo",U124="Automático"),"40%",IF(AND(T124="Detectivo",U124="Manual"),"30%",IF(AND(T124="Correctivo",U124="Automático"),"35%",IF(AND(T124="Correctivo",U124="Manual"),"25%",""))))))</f>
        <v/>
      </c>
      <c r="W124" s="116"/>
      <c r="X124" s="116"/>
      <c r="Y124" s="116"/>
      <c r="Z124" s="118" t="str">
        <f>IFERROR(IF(AND(S123="Probabilidad",S124="Probabilidad"),(AB123-(+AB123*V124)),IF(S124="Probabilidad",(K123-(+K123*V124)),IF(S124="Impacto",AB123,""))),"")</f>
        <v/>
      </c>
      <c r="AA124" s="119" t="str">
        <f t="shared" ref="AA124:AA128" si="165">IFERROR(IF(Z124="","",IF(Z124&lt;=0.2,"Muy Baja",IF(Z124&lt;=0.4,"Baja",IF(Z124&lt;=0.6,"Media",IF(Z124&lt;=0.8,"Alta","Muy Alta"))))),"")</f>
        <v/>
      </c>
      <c r="AB124" s="117" t="str">
        <f t="shared" ref="AB124:AB128" si="166">+Z124</f>
        <v/>
      </c>
      <c r="AC124" s="119" t="str">
        <f t="shared" ref="AC124:AC128" si="167">IFERROR(IF(AD124="","",IF(AD124&lt;=0.2,"Leve",IF(AD124&lt;=0.4,"Menor",IF(AD124&lt;=0.6,"Moderado",IF(AD124&lt;=0.8,"Mayor","Catastrófico"))))),"")</f>
        <v/>
      </c>
      <c r="AD124" s="117" t="str">
        <f>IFERROR(IF(AND(S123="Impacto",S124="Impacto"),(AD117-(+AD117*V124)),IF(S124="Impacto",($O$63-(+$O$63*V124)),IF(S124="Probabilidad",AD117,""))),"")</f>
        <v/>
      </c>
      <c r="AE124" s="120" t="str">
        <f t="shared" ref="AE124:AE125" si="168">IFERROR(IF(OR(AND(AA124="Muy Baja",AC124="Leve"),AND(AA124="Muy Baja",AC124="Menor"),AND(AA124="Baja",AC124="Leve")),"Bajo",IF(OR(AND(AA124="Muy baja",AC124="Moderado"),AND(AA124="Baja",AC124="Menor"),AND(AA124="Baja",AC124="Moderado"),AND(AA124="Media",AC124="Leve"),AND(AA124="Media",AC124="Menor"),AND(AA124="Media",AC124="Moderado"),AND(AA124="Alta",AC124="Leve"),AND(AA124="Alta",AC124="Menor")),"Moderado",IF(OR(AND(AA124="Muy Baja",AC124="Mayor"),AND(AA124="Baja",AC124="Mayor"),AND(AA124="Media",AC124="Mayor"),AND(AA124="Alta",AC124="Moderado"),AND(AA124="Alta",AC124="Mayor"),AND(AA124="Muy Alta",AC124="Leve"),AND(AA124="Muy Alta",AC124="Menor"),AND(AA124="Muy Alta",AC124="Moderado"),AND(AA124="Muy Alta",AC124="Mayor")),"Alto",IF(OR(AND(AA124="Muy Baja",AC124="Catastrófico"),AND(AA124="Baja",AC124="Catastrófico"),AND(AA124="Media",AC124="Catastrófico"),AND(AA124="Alta",AC124="Catastrófico"),AND(AA124="Muy Alta",AC124="Catastrófico")),"Extremo","")))),"")</f>
        <v/>
      </c>
      <c r="AF124" s="116"/>
      <c r="AG124" s="121"/>
      <c r="AH124" s="122"/>
      <c r="AI124" s="123"/>
      <c r="AJ124" s="123"/>
      <c r="AK124" s="121"/>
      <c r="AL124" s="122"/>
    </row>
    <row r="125" spans="1:38" x14ac:dyDescent="0.3">
      <c r="A125" s="211"/>
      <c r="B125" s="139"/>
      <c r="C125" s="139"/>
      <c r="D125" s="212"/>
      <c r="E125" s="204"/>
      <c r="F125" s="141"/>
      <c r="G125" s="212"/>
      <c r="H125" s="140"/>
      <c r="I125" s="213"/>
      <c r="J125" s="200"/>
      <c r="K125" s="201"/>
      <c r="L125" s="203"/>
      <c r="M125" s="201">
        <f>IF(NOT(ISERROR(MATCH(L125,_xlfn.ANCHORARRAY(E137),0))),K139&amp;"Por favor no seleccionar los criterios de impacto",L125)</f>
        <v>0</v>
      </c>
      <c r="N125" s="200"/>
      <c r="O125" s="201"/>
      <c r="P125" s="202"/>
      <c r="Q125" s="113">
        <v>3</v>
      </c>
      <c r="R125" s="126"/>
      <c r="S125" s="115" t="str">
        <f>IF(OR(T125="Preventivo",T125="Detectivo"),"Probabilidad",IF(T125="Correctivo","Impacto",""))</f>
        <v/>
      </c>
      <c r="T125" s="116"/>
      <c r="U125" s="116"/>
      <c r="V125" s="117" t="str">
        <f t="shared" si="164"/>
        <v/>
      </c>
      <c r="W125" s="116"/>
      <c r="X125" s="116"/>
      <c r="Y125" s="116"/>
      <c r="Z125" s="118" t="str">
        <f>IFERROR(IF(AND(S124="Probabilidad",S125="Probabilidad"),(AB124-(+AB124*V125)),IF(AND(S124="Impacto",S125="Probabilidad"),(AB123-(+AB123*V125)),IF(S125="Impacto",AB124,""))),"")</f>
        <v/>
      </c>
      <c r="AA125" s="119" t="str">
        <f t="shared" si="165"/>
        <v/>
      </c>
      <c r="AB125" s="117" t="str">
        <f t="shared" si="166"/>
        <v/>
      </c>
      <c r="AC125" s="119" t="str">
        <f t="shared" si="167"/>
        <v/>
      </c>
      <c r="AD125" s="117" t="str">
        <f>IFERROR(IF(AND(S124="Impacto",S125="Impacto"),(AD124-(+AD124*V125)),IF(AND(S124="Probabilidad",S125="Impacto"),(AD123-(+AD123*V125)),IF(S125="Probabilidad",AD124,""))),"")</f>
        <v/>
      </c>
      <c r="AE125" s="120" t="str">
        <f t="shared" si="168"/>
        <v/>
      </c>
      <c r="AF125" s="116"/>
      <c r="AG125" s="121"/>
      <c r="AH125" s="122"/>
      <c r="AI125" s="123"/>
      <c r="AJ125" s="123"/>
      <c r="AK125" s="121"/>
      <c r="AL125" s="122"/>
    </row>
    <row r="126" spans="1:38" x14ac:dyDescent="0.3">
      <c r="A126" s="211"/>
      <c r="B126" s="139"/>
      <c r="C126" s="139"/>
      <c r="D126" s="212"/>
      <c r="E126" s="204"/>
      <c r="F126" s="141"/>
      <c r="G126" s="212"/>
      <c r="H126" s="140"/>
      <c r="I126" s="213"/>
      <c r="J126" s="200"/>
      <c r="K126" s="201"/>
      <c r="L126" s="203"/>
      <c r="M126" s="201">
        <f>IF(NOT(ISERROR(MATCH(L126,_xlfn.ANCHORARRAY(E138),0))),K140&amp;"Por favor no seleccionar los criterios de impacto",L126)</f>
        <v>0</v>
      </c>
      <c r="N126" s="200"/>
      <c r="O126" s="201"/>
      <c r="P126" s="202"/>
      <c r="Q126" s="113">
        <v>4</v>
      </c>
      <c r="R126" s="114"/>
      <c r="S126" s="115" t="str">
        <f t="shared" ref="S126:S128" si="169">IF(OR(T126="Preventivo",T126="Detectivo"),"Probabilidad",IF(T126="Correctivo","Impacto",""))</f>
        <v/>
      </c>
      <c r="T126" s="116"/>
      <c r="U126" s="116"/>
      <c r="V126" s="117" t="str">
        <f t="shared" si="164"/>
        <v/>
      </c>
      <c r="W126" s="116"/>
      <c r="X126" s="116"/>
      <c r="Y126" s="116"/>
      <c r="Z126" s="118" t="str">
        <f t="shared" ref="Z126:Z128" si="170">IFERROR(IF(AND(S125="Probabilidad",S126="Probabilidad"),(AB125-(+AB125*V126)),IF(AND(S125="Impacto",S126="Probabilidad"),(AB124-(+AB124*V126)),IF(S126="Impacto",AB125,""))),"")</f>
        <v/>
      </c>
      <c r="AA126" s="119" t="str">
        <f t="shared" si="165"/>
        <v/>
      </c>
      <c r="AB126" s="117" t="str">
        <f t="shared" si="166"/>
        <v/>
      </c>
      <c r="AC126" s="119" t="str">
        <f t="shared" si="167"/>
        <v/>
      </c>
      <c r="AD126" s="117" t="str">
        <f t="shared" ref="AD126:AD128" si="171">IFERROR(IF(AND(S125="Impacto",S126="Impacto"),(AD125-(+AD125*V126)),IF(AND(S125="Probabilidad",S126="Impacto"),(AD124-(+AD124*V126)),IF(S126="Probabilidad",AD125,""))),"")</f>
        <v/>
      </c>
      <c r="AE126" s="120" t="str">
        <f>IFERROR(IF(OR(AND(AA126="Muy Baja",AC126="Leve"),AND(AA126="Muy Baja",AC126="Menor"),AND(AA126="Baja",AC126="Leve")),"Bajo",IF(OR(AND(AA126="Muy baja",AC126="Moderado"),AND(AA126="Baja",AC126="Menor"),AND(AA126="Baja",AC126="Moderado"),AND(AA126="Media",AC126="Leve"),AND(AA126="Media",AC126="Menor"),AND(AA126="Media",AC126="Moderado"),AND(AA126="Alta",AC126="Leve"),AND(AA126="Alta",AC126="Menor")),"Moderado",IF(OR(AND(AA126="Muy Baja",AC126="Mayor"),AND(AA126="Baja",AC126="Mayor"),AND(AA126="Media",AC126="Mayor"),AND(AA126="Alta",AC126="Moderado"),AND(AA126="Alta",AC126="Mayor"),AND(AA126="Muy Alta",AC126="Leve"),AND(AA126="Muy Alta",AC126="Menor"),AND(AA126="Muy Alta",AC126="Moderado"),AND(AA126="Muy Alta",AC126="Mayor")),"Alto",IF(OR(AND(AA126="Muy Baja",AC126="Catastrófico"),AND(AA126="Baja",AC126="Catastrófico"),AND(AA126="Media",AC126="Catastrófico"),AND(AA126="Alta",AC126="Catastrófico"),AND(AA126="Muy Alta",AC126="Catastrófico")),"Extremo","")))),"")</f>
        <v/>
      </c>
      <c r="AF126" s="116"/>
      <c r="AG126" s="121"/>
      <c r="AH126" s="122"/>
      <c r="AI126" s="123"/>
      <c r="AJ126" s="123"/>
      <c r="AK126" s="121"/>
      <c r="AL126" s="122"/>
    </row>
    <row r="127" spans="1:38" x14ac:dyDescent="0.3">
      <c r="A127" s="211"/>
      <c r="B127" s="139"/>
      <c r="C127" s="139"/>
      <c r="D127" s="212"/>
      <c r="E127" s="204"/>
      <c r="F127" s="141"/>
      <c r="G127" s="212"/>
      <c r="H127" s="140"/>
      <c r="I127" s="213"/>
      <c r="J127" s="200"/>
      <c r="K127" s="201"/>
      <c r="L127" s="203"/>
      <c r="M127" s="201">
        <f>IF(NOT(ISERROR(MATCH(L127,_xlfn.ANCHORARRAY(E139),0))),K141&amp;"Por favor no seleccionar los criterios de impacto",L127)</f>
        <v>0</v>
      </c>
      <c r="N127" s="200"/>
      <c r="O127" s="201"/>
      <c r="P127" s="202"/>
      <c r="Q127" s="113">
        <v>5</v>
      </c>
      <c r="R127" s="114"/>
      <c r="S127" s="115" t="str">
        <f t="shared" si="169"/>
        <v/>
      </c>
      <c r="T127" s="116"/>
      <c r="U127" s="116"/>
      <c r="V127" s="117" t="str">
        <f t="shared" si="164"/>
        <v/>
      </c>
      <c r="W127" s="116"/>
      <c r="X127" s="116"/>
      <c r="Y127" s="116"/>
      <c r="Z127" s="118" t="str">
        <f t="shared" si="170"/>
        <v/>
      </c>
      <c r="AA127" s="119" t="str">
        <f t="shared" si="165"/>
        <v/>
      </c>
      <c r="AB127" s="117" t="str">
        <f t="shared" si="166"/>
        <v/>
      </c>
      <c r="AC127" s="119" t="str">
        <f t="shared" si="167"/>
        <v/>
      </c>
      <c r="AD127" s="117" t="str">
        <f t="shared" si="171"/>
        <v/>
      </c>
      <c r="AE127" s="120" t="str">
        <f t="shared" ref="AE127:AE128" si="172">IFERROR(IF(OR(AND(AA127="Muy Baja",AC127="Leve"),AND(AA127="Muy Baja",AC127="Menor"),AND(AA127="Baja",AC127="Leve")),"Bajo",IF(OR(AND(AA127="Muy baja",AC127="Moderado"),AND(AA127="Baja",AC127="Menor"),AND(AA127="Baja",AC127="Moderado"),AND(AA127="Media",AC127="Leve"),AND(AA127="Media",AC127="Menor"),AND(AA127="Media",AC127="Moderado"),AND(AA127="Alta",AC127="Leve"),AND(AA127="Alta",AC127="Menor")),"Moderado",IF(OR(AND(AA127="Muy Baja",AC127="Mayor"),AND(AA127="Baja",AC127="Mayor"),AND(AA127="Media",AC127="Mayor"),AND(AA127="Alta",AC127="Moderado"),AND(AA127="Alta",AC127="Mayor"),AND(AA127="Muy Alta",AC127="Leve"),AND(AA127="Muy Alta",AC127="Menor"),AND(AA127="Muy Alta",AC127="Moderado"),AND(AA127="Muy Alta",AC127="Mayor")),"Alto",IF(OR(AND(AA127="Muy Baja",AC127="Catastrófico"),AND(AA127="Baja",AC127="Catastrófico"),AND(AA127="Media",AC127="Catastrófico"),AND(AA127="Alta",AC127="Catastrófico"),AND(AA127="Muy Alta",AC127="Catastrófico")),"Extremo","")))),"")</f>
        <v/>
      </c>
      <c r="AF127" s="116"/>
      <c r="AG127" s="121"/>
      <c r="AH127" s="122"/>
      <c r="AI127" s="123"/>
      <c r="AJ127" s="123"/>
      <c r="AK127" s="121"/>
      <c r="AL127" s="122"/>
    </row>
    <row r="128" spans="1:38" x14ac:dyDescent="0.3">
      <c r="A128" s="211"/>
      <c r="B128" s="139"/>
      <c r="C128" s="139"/>
      <c r="D128" s="212"/>
      <c r="E128" s="204"/>
      <c r="F128" s="141"/>
      <c r="G128" s="212"/>
      <c r="H128" s="140"/>
      <c r="I128" s="213"/>
      <c r="J128" s="200"/>
      <c r="K128" s="201"/>
      <c r="L128" s="203"/>
      <c r="M128" s="201">
        <f>IF(NOT(ISERROR(MATCH(L128,_xlfn.ANCHORARRAY(E140),0))),K142&amp;"Por favor no seleccionar los criterios de impacto",L128)</f>
        <v>0</v>
      </c>
      <c r="N128" s="200"/>
      <c r="O128" s="201"/>
      <c r="P128" s="202"/>
      <c r="Q128" s="113">
        <v>6</v>
      </c>
      <c r="R128" s="114"/>
      <c r="S128" s="115" t="str">
        <f t="shared" si="169"/>
        <v/>
      </c>
      <c r="T128" s="116"/>
      <c r="U128" s="116"/>
      <c r="V128" s="117" t="str">
        <f t="shared" si="164"/>
        <v/>
      </c>
      <c r="W128" s="116"/>
      <c r="X128" s="116"/>
      <c r="Y128" s="116"/>
      <c r="Z128" s="118" t="str">
        <f t="shared" si="170"/>
        <v/>
      </c>
      <c r="AA128" s="119" t="str">
        <f t="shared" si="165"/>
        <v/>
      </c>
      <c r="AB128" s="117" t="str">
        <f t="shared" si="166"/>
        <v/>
      </c>
      <c r="AC128" s="119" t="str">
        <f t="shared" si="167"/>
        <v/>
      </c>
      <c r="AD128" s="117" t="str">
        <f t="shared" si="171"/>
        <v/>
      </c>
      <c r="AE128" s="120" t="str">
        <f t="shared" si="172"/>
        <v/>
      </c>
      <c r="AF128" s="116"/>
      <c r="AG128" s="121"/>
      <c r="AH128" s="122"/>
      <c r="AI128" s="123"/>
      <c r="AJ128" s="123"/>
      <c r="AK128" s="121"/>
      <c r="AL128" s="122"/>
    </row>
    <row r="129" spans="1:38" s="132" customFormat="1" x14ac:dyDescent="0.3">
      <c r="A129" s="131"/>
      <c r="B129" s="131"/>
      <c r="C129" s="131"/>
      <c r="D129" s="131"/>
      <c r="G129" s="133"/>
      <c r="H129" s="133"/>
    </row>
    <row r="130" spans="1:38" ht="30" customHeight="1" x14ac:dyDescent="0.3">
      <c r="D130" s="238"/>
      <c r="E130" s="238"/>
      <c r="F130" s="238"/>
      <c r="G130" s="238"/>
      <c r="H130" s="238"/>
      <c r="I130" s="238"/>
      <c r="J130" s="238"/>
      <c r="K130" s="238"/>
      <c r="L130" s="238"/>
      <c r="M130" s="238"/>
      <c r="N130" s="238"/>
      <c r="O130" s="238"/>
      <c r="P130" s="238"/>
      <c r="Q130" s="238"/>
      <c r="R130" s="238"/>
      <c r="S130" s="238"/>
      <c r="T130" s="238"/>
      <c r="U130" s="238"/>
      <c r="V130" s="238"/>
      <c r="W130" s="238"/>
      <c r="X130" s="238"/>
      <c r="Y130" s="238"/>
      <c r="Z130" s="238"/>
      <c r="AA130" s="238"/>
      <c r="AB130" s="238"/>
      <c r="AC130" s="238"/>
      <c r="AD130" s="238"/>
      <c r="AE130" s="238"/>
      <c r="AF130" s="238"/>
      <c r="AG130" s="238"/>
      <c r="AH130" s="238"/>
      <c r="AI130" s="238"/>
      <c r="AJ130" s="238"/>
      <c r="AK130" s="238"/>
      <c r="AL130" s="238"/>
    </row>
    <row r="131" spans="1:38" s="135" customFormat="1" x14ac:dyDescent="0.3">
      <c r="A131" s="134"/>
      <c r="B131" s="134"/>
      <c r="C131" s="134"/>
      <c r="D131" s="134"/>
      <c r="G131" s="136"/>
      <c r="H131" s="136"/>
    </row>
  </sheetData>
  <dataConsolidate/>
  <mergeCells count="296">
    <mergeCell ref="A1:AL1"/>
    <mergeCell ref="A2:AL2"/>
    <mergeCell ref="A3:AL3"/>
    <mergeCell ref="A4:AL4"/>
    <mergeCell ref="H7:H8"/>
    <mergeCell ref="F9:F14"/>
    <mergeCell ref="H9:H14"/>
    <mergeCell ref="D130:AL130"/>
    <mergeCell ref="L117:L122"/>
    <mergeCell ref="M117:M122"/>
    <mergeCell ref="N117:N122"/>
    <mergeCell ref="O117:O122"/>
    <mergeCell ref="P117:P122"/>
    <mergeCell ref="N123:N128"/>
    <mergeCell ref="O123:O128"/>
    <mergeCell ref="P123:P128"/>
    <mergeCell ref="N105:N110"/>
    <mergeCell ref="O105:O110"/>
    <mergeCell ref="P105:P110"/>
    <mergeCell ref="N111:N116"/>
    <mergeCell ref="O111:O116"/>
    <mergeCell ref="P111:P116"/>
    <mergeCell ref="K105:K110"/>
    <mergeCell ref="L99:L104"/>
    <mergeCell ref="O99:O104"/>
    <mergeCell ref="P99:P104"/>
    <mergeCell ref="A123:A128"/>
    <mergeCell ref="D123:D128"/>
    <mergeCell ref="E123:E128"/>
    <mergeCell ref="G123:G128"/>
    <mergeCell ref="I123:I128"/>
    <mergeCell ref="J123:J128"/>
    <mergeCell ref="K123:K128"/>
    <mergeCell ref="L123:L128"/>
    <mergeCell ref="M123:M128"/>
    <mergeCell ref="A117:A122"/>
    <mergeCell ref="D117:D122"/>
    <mergeCell ref="E117:E122"/>
    <mergeCell ref="G117:G122"/>
    <mergeCell ref="I117:I122"/>
    <mergeCell ref="J117:J122"/>
    <mergeCell ref="K117:K122"/>
    <mergeCell ref="L105:L110"/>
    <mergeCell ref="M105:M110"/>
    <mergeCell ref="A111:A116"/>
    <mergeCell ref="D111:D116"/>
    <mergeCell ref="E111:E116"/>
    <mergeCell ref="G111:G116"/>
    <mergeCell ref="I111:I116"/>
    <mergeCell ref="J111:J116"/>
    <mergeCell ref="K111:K116"/>
    <mergeCell ref="L111:L116"/>
    <mergeCell ref="M111:M116"/>
    <mergeCell ref="A105:A110"/>
    <mergeCell ref="D105:D110"/>
    <mergeCell ref="E105:E110"/>
    <mergeCell ref="G105:G110"/>
    <mergeCell ref="I105:I110"/>
    <mergeCell ref="J105:J110"/>
    <mergeCell ref="A93:A98"/>
    <mergeCell ref="D93:D98"/>
    <mergeCell ref="E93:E98"/>
    <mergeCell ref="A99:A104"/>
    <mergeCell ref="D99:D104"/>
    <mergeCell ref="E99:E104"/>
    <mergeCell ref="G99:G104"/>
    <mergeCell ref="I99:I104"/>
    <mergeCell ref="J99:J104"/>
    <mergeCell ref="K99:K104"/>
    <mergeCell ref="G93:G98"/>
    <mergeCell ref="I93:I98"/>
    <mergeCell ref="J93:J98"/>
    <mergeCell ref="K93:K98"/>
    <mergeCell ref="L93:L98"/>
    <mergeCell ref="L81:L86"/>
    <mergeCell ref="M81:M86"/>
    <mergeCell ref="N81:N86"/>
    <mergeCell ref="M99:M104"/>
    <mergeCell ref="N99:N104"/>
    <mergeCell ref="O81:O86"/>
    <mergeCell ref="P81:P86"/>
    <mergeCell ref="L87:L92"/>
    <mergeCell ref="M87:M92"/>
    <mergeCell ref="N87:N92"/>
    <mergeCell ref="O87:O92"/>
    <mergeCell ref="P87:P92"/>
    <mergeCell ref="M93:M98"/>
    <mergeCell ref="N93:N98"/>
    <mergeCell ref="O93:O98"/>
    <mergeCell ref="P93:P98"/>
    <mergeCell ref="A87:A92"/>
    <mergeCell ref="D87:D92"/>
    <mergeCell ref="E87:E92"/>
    <mergeCell ref="G87:G92"/>
    <mergeCell ref="I87:I92"/>
    <mergeCell ref="J87:J92"/>
    <mergeCell ref="K87:K92"/>
    <mergeCell ref="A81:A86"/>
    <mergeCell ref="D81:D86"/>
    <mergeCell ref="E81:E86"/>
    <mergeCell ref="G81:G86"/>
    <mergeCell ref="I81:I86"/>
    <mergeCell ref="J81:J86"/>
    <mergeCell ref="K81:K86"/>
    <mergeCell ref="L69:L74"/>
    <mergeCell ref="M69:M74"/>
    <mergeCell ref="N69:N74"/>
    <mergeCell ref="O69:O74"/>
    <mergeCell ref="P69:P74"/>
    <mergeCell ref="A75:A80"/>
    <mergeCell ref="D75:D80"/>
    <mergeCell ref="E75:E80"/>
    <mergeCell ref="G75:G80"/>
    <mergeCell ref="I75:I80"/>
    <mergeCell ref="J75:J80"/>
    <mergeCell ref="K75:K80"/>
    <mergeCell ref="L75:L80"/>
    <mergeCell ref="M75:M80"/>
    <mergeCell ref="N75:N80"/>
    <mergeCell ref="O75:O80"/>
    <mergeCell ref="P75:P80"/>
    <mergeCell ref="A69:A74"/>
    <mergeCell ref="D69:D74"/>
    <mergeCell ref="E69:E74"/>
    <mergeCell ref="G69:G74"/>
    <mergeCell ref="I69:I74"/>
    <mergeCell ref="J69:J74"/>
    <mergeCell ref="K69:K74"/>
    <mergeCell ref="D15:D20"/>
    <mergeCell ref="E15:E20"/>
    <mergeCell ref="K33:K38"/>
    <mergeCell ref="C9:C14"/>
    <mergeCell ref="B9:B14"/>
    <mergeCell ref="C15:C20"/>
    <mergeCell ref="B15:B20"/>
    <mergeCell ref="A27:A32"/>
    <mergeCell ref="D27:D32"/>
    <mergeCell ref="E27:E32"/>
    <mergeCell ref="G27:G32"/>
    <mergeCell ref="I27:I32"/>
    <mergeCell ref="J27:J32"/>
    <mergeCell ref="K27:K32"/>
    <mergeCell ref="A33:A38"/>
    <mergeCell ref="J15:J20"/>
    <mergeCell ref="K15:K20"/>
    <mergeCell ref="E21:E26"/>
    <mergeCell ref="G21:G26"/>
    <mergeCell ref="I21:I26"/>
    <mergeCell ref="J21:J26"/>
    <mergeCell ref="K21:K26"/>
    <mergeCell ref="AC7:AC8"/>
    <mergeCell ref="AA7:AA8"/>
    <mergeCell ref="AB7:AB8"/>
    <mergeCell ref="S7:S8"/>
    <mergeCell ref="T7:Y7"/>
    <mergeCell ref="G9:G14"/>
    <mergeCell ref="I9:I14"/>
    <mergeCell ref="J9:J14"/>
    <mergeCell ref="A9:A14"/>
    <mergeCell ref="D9:D14"/>
    <mergeCell ref="E9:E14"/>
    <mergeCell ref="K7:K8"/>
    <mergeCell ref="N7:N8"/>
    <mergeCell ref="O7:O8"/>
    <mergeCell ref="P7:P8"/>
    <mergeCell ref="L7:L8"/>
    <mergeCell ref="M7:M8"/>
    <mergeCell ref="P9:P14"/>
    <mergeCell ref="K9:K14"/>
    <mergeCell ref="L9:L14"/>
    <mergeCell ref="M9:M14"/>
    <mergeCell ref="N9:N14"/>
    <mergeCell ref="O9:O14"/>
    <mergeCell ref="L15:L20"/>
    <mergeCell ref="A15:A20"/>
    <mergeCell ref="O21:O26"/>
    <mergeCell ref="P21:P26"/>
    <mergeCell ref="AG7:AG8"/>
    <mergeCell ref="AL7:AL8"/>
    <mergeCell ref="AK7:AK8"/>
    <mergeCell ref="AJ7:AJ8"/>
    <mergeCell ref="AI7:AI8"/>
    <mergeCell ref="AH7:AH8"/>
    <mergeCell ref="A7:A8"/>
    <mergeCell ref="G7:G8"/>
    <mergeCell ref="E7:E8"/>
    <mergeCell ref="D7:D8"/>
    <mergeCell ref="AF7:AF8"/>
    <mergeCell ref="Q7:Q8"/>
    <mergeCell ref="AE7:AE8"/>
    <mergeCell ref="AD7:AD8"/>
    <mergeCell ref="Z7:Z8"/>
    <mergeCell ref="R7:R8"/>
    <mergeCell ref="I7:I8"/>
    <mergeCell ref="J7:J8"/>
    <mergeCell ref="A21:A26"/>
    <mergeCell ref="D21:D26"/>
    <mergeCell ref="L21:L26"/>
    <mergeCell ref="M21:M26"/>
    <mergeCell ref="A39:A44"/>
    <mergeCell ref="D39:D44"/>
    <mergeCell ref="E39:E44"/>
    <mergeCell ref="G39:G44"/>
    <mergeCell ref="D33:D38"/>
    <mergeCell ref="E33:E38"/>
    <mergeCell ref="L39:L44"/>
    <mergeCell ref="M39:M44"/>
    <mergeCell ref="G33:G38"/>
    <mergeCell ref="I33:I38"/>
    <mergeCell ref="J33:J38"/>
    <mergeCell ref="L33:L38"/>
    <mergeCell ref="I39:I44"/>
    <mergeCell ref="J39:J44"/>
    <mergeCell ref="K39:K44"/>
    <mergeCell ref="M33:M38"/>
    <mergeCell ref="A57:A62"/>
    <mergeCell ref="D57:D62"/>
    <mergeCell ref="E57:E62"/>
    <mergeCell ref="G57:G62"/>
    <mergeCell ref="I57:I62"/>
    <mergeCell ref="J57:J62"/>
    <mergeCell ref="K57:K62"/>
    <mergeCell ref="A6:I6"/>
    <mergeCell ref="J6:P6"/>
    <mergeCell ref="A51:A56"/>
    <mergeCell ref="A45:A50"/>
    <mergeCell ref="E45:E50"/>
    <mergeCell ref="O45:O50"/>
    <mergeCell ref="P45:P50"/>
    <mergeCell ref="G51:G56"/>
    <mergeCell ref="I51:I56"/>
    <mergeCell ref="J51:J56"/>
    <mergeCell ref="K51:K56"/>
    <mergeCell ref="L51:L56"/>
    <mergeCell ref="G45:G50"/>
    <mergeCell ref="I45:I50"/>
    <mergeCell ref="J45:J50"/>
    <mergeCell ref="K45:K50"/>
    <mergeCell ref="M51:M56"/>
    <mergeCell ref="Q6:Y6"/>
    <mergeCell ref="Z6:AF6"/>
    <mergeCell ref="AG6:AL6"/>
    <mergeCell ref="O57:O62"/>
    <mergeCell ref="P57:P62"/>
    <mergeCell ref="C21:C26"/>
    <mergeCell ref="B21:B26"/>
    <mergeCell ref="B27:B32"/>
    <mergeCell ref="C27:C32"/>
    <mergeCell ref="D51:D56"/>
    <mergeCell ref="E51:E56"/>
    <mergeCell ref="D45:D50"/>
    <mergeCell ref="N51:N56"/>
    <mergeCell ref="O51:O56"/>
    <mergeCell ref="P51:P56"/>
    <mergeCell ref="L45:L50"/>
    <mergeCell ref="M45:M50"/>
    <mergeCell ref="N45:N50"/>
    <mergeCell ref="N15:N20"/>
    <mergeCell ref="O15:O20"/>
    <mergeCell ref="P15:P20"/>
    <mergeCell ref="N21:N26"/>
    <mergeCell ref="G15:G20"/>
    <mergeCell ref="I15:I20"/>
    <mergeCell ref="A63:A68"/>
    <mergeCell ref="D63:D68"/>
    <mergeCell ref="E63:E68"/>
    <mergeCell ref="G63:G68"/>
    <mergeCell ref="I63:I68"/>
    <mergeCell ref="J63:J68"/>
    <mergeCell ref="K63:K68"/>
    <mergeCell ref="L63:L68"/>
    <mergeCell ref="M63:M68"/>
    <mergeCell ref="N63:N68"/>
    <mergeCell ref="O63:O68"/>
    <mergeCell ref="P63:P68"/>
    <mergeCell ref="L57:L62"/>
    <mergeCell ref="M57:M62"/>
    <mergeCell ref="F15:F20"/>
    <mergeCell ref="H15:H20"/>
    <mergeCell ref="H21:H26"/>
    <mergeCell ref="F21:F26"/>
    <mergeCell ref="F27:F32"/>
    <mergeCell ref="H27:H32"/>
    <mergeCell ref="N57:N62"/>
    <mergeCell ref="N39:N44"/>
    <mergeCell ref="N33:N38"/>
    <mergeCell ref="L27:L32"/>
    <mergeCell ref="M27:M32"/>
    <mergeCell ref="N27:N32"/>
    <mergeCell ref="O27:O32"/>
    <mergeCell ref="P27:P32"/>
    <mergeCell ref="O33:O38"/>
    <mergeCell ref="P33:P38"/>
    <mergeCell ref="O39:O44"/>
    <mergeCell ref="P39:P44"/>
    <mergeCell ref="M15:M20"/>
  </mergeCells>
  <phoneticPr fontId="61" type="noConversion"/>
  <conditionalFormatting sqref="J15">
    <cfRule type="cellIs" dxfId="476" priority="561" operator="equal">
      <formula>"Muy Alta"</formula>
    </cfRule>
    <cfRule type="cellIs" dxfId="475" priority="562" operator="equal">
      <formula>"Alta"</formula>
    </cfRule>
    <cfRule type="cellIs" dxfId="474" priority="563" operator="equal">
      <formula>"Media"</formula>
    </cfRule>
    <cfRule type="cellIs" dxfId="473" priority="564" operator="equal">
      <formula>"Baja"</formula>
    </cfRule>
    <cfRule type="cellIs" dxfId="472" priority="565" operator="equal">
      <formula>"Muy Baja"</formula>
    </cfRule>
  </conditionalFormatting>
  <conditionalFormatting sqref="N15 N21 N27 N33 N39 N45 N51 N57 N63">
    <cfRule type="cellIs" dxfId="471" priority="556" operator="equal">
      <formula>"Catastrófico"</formula>
    </cfRule>
    <cfRule type="cellIs" dxfId="470" priority="557" operator="equal">
      <formula>"Mayor"</formula>
    </cfRule>
    <cfRule type="cellIs" dxfId="469" priority="558" operator="equal">
      <formula>"Moderado"</formula>
    </cfRule>
    <cfRule type="cellIs" dxfId="468" priority="559" operator="equal">
      <formula>"Menor"</formula>
    </cfRule>
    <cfRule type="cellIs" dxfId="467" priority="560" operator="equal">
      <formula>"Leve"</formula>
    </cfRule>
  </conditionalFormatting>
  <conditionalFormatting sqref="P9">
    <cfRule type="cellIs" dxfId="466" priority="552" operator="equal">
      <formula>"Extremo"</formula>
    </cfRule>
    <cfRule type="cellIs" dxfId="465" priority="553" operator="equal">
      <formula>"Alto"</formula>
    </cfRule>
    <cfRule type="cellIs" dxfId="464" priority="554" operator="equal">
      <formula>"Moderado"</formula>
    </cfRule>
    <cfRule type="cellIs" dxfId="463" priority="555" operator="equal">
      <formula>"Bajo"</formula>
    </cfRule>
  </conditionalFormatting>
  <conditionalFormatting sqref="AA9:AA14">
    <cfRule type="cellIs" dxfId="462" priority="547" operator="equal">
      <formula>"Muy Alta"</formula>
    </cfRule>
    <cfRule type="cellIs" dxfId="461" priority="548" operator="equal">
      <formula>"Alta"</formula>
    </cfRule>
    <cfRule type="cellIs" dxfId="460" priority="549" operator="equal">
      <formula>"Media"</formula>
    </cfRule>
    <cfRule type="cellIs" dxfId="459" priority="550" operator="equal">
      <formula>"Baja"</formula>
    </cfRule>
    <cfRule type="cellIs" dxfId="458" priority="551" operator="equal">
      <formula>"Muy Baja"</formula>
    </cfRule>
  </conditionalFormatting>
  <conditionalFormatting sqref="AC9:AC14">
    <cfRule type="cellIs" dxfId="457" priority="542" operator="equal">
      <formula>"Catastrófico"</formula>
    </cfRule>
    <cfRule type="cellIs" dxfId="456" priority="543" operator="equal">
      <formula>"Mayor"</formula>
    </cfRule>
    <cfRule type="cellIs" dxfId="455" priority="544" operator="equal">
      <formula>"Moderado"</formula>
    </cfRule>
    <cfRule type="cellIs" dxfId="454" priority="545" operator="equal">
      <formula>"Menor"</formula>
    </cfRule>
    <cfRule type="cellIs" dxfId="453" priority="546" operator="equal">
      <formula>"Leve"</formula>
    </cfRule>
  </conditionalFormatting>
  <conditionalFormatting sqref="AE9:AE14">
    <cfRule type="cellIs" dxfId="452" priority="538" operator="equal">
      <formula>"Extremo"</formula>
    </cfRule>
    <cfRule type="cellIs" dxfId="451" priority="539" operator="equal">
      <formula>"Alto"</formula>
    </cfRule>
    <cfRule type="cellIs" dxfId="450" priority="540" operator="equal">
      <formula>"Moderado"</formula>
    </cfRule>
    <cfRule type="cellIs" dxfId="449" priority="541" operator="equal">
      <formula>"Bajo"</formula>
    </cfRule>
  </conditionalFormatting>
  <conditionalFormatting sqref="J57">
    <cfRule type="cellIs" dxfId="448" priority="295" operator="equal">
      <formula>"Muy Alta"</formula>
    </cfRule>
    <cfRule type="cellIs" dxfId="447" priority="296" operator="equal">
      <formula>"Alta"</formula>
    </cfRule>
    <cfRule type="cellIs" dxfId="446" priority="297" operator="equal">
      <formula>"Media"</formula>
    </cfRule>
    <cfRule type="cellIs" dxfId="445" priority="298" operator="equal">
      <formula>"Baja"</formula>
    </cfRule>
    <cfRule type="cellIs" dxfId="444" priority="299" operator="equal">
      <formula>"Muy Baja"</formula>
    </cfRule>
  </conditionalFormatting>
  <conditionalFormatting sqref="P15">
    <cfRule type="cellIs" dxfId="443" priority="482" operator="equal">
      <formula>"Extremo"</formula>
    </cfRule>
    <cfRule type="cellIs" dxfId="442" priority="483" operator="equal">
      <formula>"Alto"</formula>
    </cfRule>
    <cfRule type="cellIs" dxfId="441" priority="484" operator="equal">
      <formula>"Moderado"</formula>
    </cfRule>
    <cfRule type="cellIs" dxfId="440" priority="485" operator="equal">
      <formula>"Bajo"</formula>
    </cfRule>
  </conditionalFormatting>
  <conditionalFormatting sqref="AA15:AA20">
    <cfRule type="cellIs" dxfId="439" priority="477" operator="equal">
      <formula>"Muy Alta"</formula>
    </cfRule>
    <cfRule type="cellIs" dxfId="438" priority="478" operator="equal">
      <formula>"Alta"</formula>
    </cfRule>
    <cfRule type="cellIs" dxfId="437" priority="479" operator="equal">
      <formula>"Media"</formula>
    </cfRule>
    <cfRule type="cellIs" dxfId="436" priority="480" operator="equal">
      <formula>"Baja"</formula>
    </cfRule>
    <cfRule type="cellIs" dxfId="435" priority="481" operator="equal">
      <formula>"Muy Baja"</formula>
    </cfRule>
  </conditionalFormatting>
  <conditionalFormatting sqref="AC15:AC20">
    <cfRule type="cellIs" dxfId="434" priority="472" operator="equal">
      <formula>"Catastrófico"</formula>
    </cfRule>
    <cfRule type="cellIs" dxfId="433" priority="473" operator="equal">
      <formula>"Mayor"</formula>
    </cfRule>
    <cfRule type="cellIs" dxfId="432" priority="474" operator="equal">
      <formula>"Moderado"</formula>
    </cfRule>
    <cfRule type="cellIs" dxfId="431" priority="475" operator="equal">
      <formula>"Menor"</formula>
    </cfRule>
    <cfRule type="cellIs" dxfId="430" priority="476" operator="equal">
      <formula>"Leve"</formula>
    </cfRule>
  </conditionalFormatting>
  <conditionalFormatting sqref="AE15:AE20">
    <cfRule type="cellIs" dxfId="429" priority="468" operator="equal">
      <formula>"Extremo"</formula>
    </cfRule>
    <cfRule type="cellIs" dxfId="428" priority="469" operator="equal">
      <formula>"Alto"</formula>
    </cfRule>
    <cfRule type="cellIs" dxfId="427" priority="470" operator="equal">
      <formula>"Moderado"</formula>
    </cfRule>
    <cfRule type="cellIs" dxfId="426" priority="471" operator="equal">
      <formula>"Bajo"</formula>
    </cfRule>
  </conditionalFormatting>
  <conditionalFormatting sqref="J21">
    <cfRule type="cellIs" dxfId="425" priority="463" operator="equal">
      <formula>"Muy Alta"</formula>
    </cfRule>
    <cfRule type="cellIs" dxfId="424" priority="464" operator="equal">
      <formula>"Alta"</formula>
    </cfRule>
    <cfRule type="cellIs" dxfId="423" priority="465" operator="equal">
      <formula>"Media"</formula>
    </cfRule>
    <cfRule type="cellIs" dxfId="422" priority="466" operator="equal">
      <formula>"Baja"</formula>
    </cfRule>
    <cfRule type="cellIs" dxfId="421" priority="467" operator="equal">
      <formula>"Muy Baja"</formula>
    </cfRule>
  </conditionalFormatting>
  <conditionalFormatting sqref="P21">
    <cfRule type="cellIs" dxfId="420" priority="454" operator="equal">
      <formula>"Extremo"</formula>
    </cfRule>
    <cfRule type="cellIs" dxfId="419" priority="455" operator="equal">
      <formula>"Alto"</formula>
    </cfRule>
    <cfRule type="cellIs" dxfId="418" priority="456" operator="equal">
      <formula>"Moderado"</formula>
    </cfRule>
    <cfRule type="cellIs" dxfId="417" priority="457" operator="equal">
      <formula>"Bajo"</formula>
    </cfRule>
  </conditionalFormatting>
  <conditionalFormatting sqref="AA21:AA26">
    <cfRule type="cellIs" dxfId="416" priority="449" operator="equal">
      <formula>"Muy Alta"</formula>
    </cfRule>
    <cfRule type="cellIs" dxfId="415" priority="450" operator="equal">
      <formula>"Alta"</formula>
    </cfRule>
    <cfRule type="cellIs" dxfId="414" priority="451" operator="equal">
      <formula>"Media"</formula>
    </cfRule>
    <cfRule type="cellIs" dxfId="413" priority="452" operator="equal">
      <formula>"Baja"</formula>
    </cfRule>
    <cfRule type="cellIs" dxfId="412" priority="453" operator="equal">
      <formula>"Muy Baja"</formula>
    </cfRule>
  </conditionalFormatting>
  <conditionalFormatting sqref="AC21:AC26">
    <cfRule type="cellIs" dxfId="411" priority="444" operator="equal">
      <formula>"Catastrófico"</formula>
    </cfRule>
    <cfRule type="cellIs" dxfId="410" priority="445" operator="equal">
      <formula>"Mayor"</formula>
    </cfRule>
    <cfRule type="cellIs" dxfId="409" priority="446" operator="equal">
      <formula>"Moderado"</formula>
    </cfRule>
    <cfRule type="cellIs" dxfId="408" priority="447" operator="equal">
      <formula>"Menor"</formula>
    </cfRule>
    <cfRule type="cellIs" dxfId="407" priority="448" operator="equal">
      <formula>"Leve"</formula>
    </cfRule>
  </conditionalFormatting>
  <conditionalFormatting sqref="AE21:AE26">
    <cfRule type="cellIs" dxfId="406" priority="440" operator="equal">
      <formula>"Extremo"</formula>
    </cfRule>
    <cfRule type="cellIs" dxfId="405" priority="441" operator="equal">
      <formula>"Alto"</formula>
    </cfRule>
    <cfRule type="cellIs" dxfId="404" priority="442" operator="equal">
      <formula>"Moderado"</formula>
    </cfRule>
    <cfRule type="cellIs" dxfId="403" priority="443" operator="equal">
      <formula>"Bajo"</formula>
    </cfRule>
  </conditionalFormatting>
  <conditionalFormatting sqref="J27">
    <cfRule type="cellIs" dxfId="402" priority="435" operator="equal">
      <formula>"Muy Alta"</formula>
    </cfRule>
    <cfRule type="cellIs" dxfId="401" priority="436" operator="equal">
      <formula>"Alta"</formula>
    </cfRule>
    <cfRule type="cellIs" dxfId="400" priority="437" operator="equal">
      <formula>"Media"</formula>
    </cfRule>
    <cfRule type="cellIs" dxfId="399" priority="438" operator="equal">
      <formula>"Baja"</formula>
    </cfRule>
    <cfRule type="cellIs" dxfId="398" priority="439" operator="equal">
      <formula>"Muy Baja"</formula>
    </cfRule>
  </conditionalFormatting>
  <conditionalFormatting sqref="P27">
    <cfRule type="cellIs" dxfId="397" priority="426" operator="equal">
      <formula>"Extremo"</formula>
    </cfRule>
    <cfRule type="cellIs" dxfId="396" priority="427" operator="equal">
      <formula>"Alto"</formula>
    </cfRule>
    <cfRule type="cellIs" dxfId="395" priority="428" operator="equal">
      <formula>"Moderado"</formula>
    </cfRule>
    <cfRule type="cellIs" dxfId="394" priority="429" operator="equal">
      <formula>"Bajo"</formula>
    </cfRule>
  </conditionalFormatting>
  <conditionalFormatting sqref="AA27:AA32">
    <cfRule type="cellIs" dxfId="393" priority="421" operator="equal">
      <formula>"Muy Alta"</formula>
    </cfRule>
    <cfRule type="cellIs" dxfId="392" priority="422" operator="equal">
      <formula>"Alta"</formula>
    </cfRule>
    <cfRule type="cellIs" dxfId="391" priority="423" operator="equal">
      <formula>"Media"</formula>
    </cfRule>
    <cfRule type="cellIs" dxfId="390" priority="424" operator="equal">
      <formula>"Baja"</formula>
    </cfRule>
    <cfRule type="cellIs" dxfId="389" priority="425" operator="equal">
      <formula>"Muy Baja"</formula>
    </cfRule>
  </conditionalFormatting>
  <conditionalFormatting sqref="AC27:AC32">
    <cfRule type="cellIs" dxfId="388" priority="416" operator="equal">
      <formula>"Catastrófico"</formula>
    </cfRule>
    <cfRule type="cellIs" dxfId="387" priority="417" operator="equal">
      <formula>"Mayor"</formula>
    </cfRule>
    <cfRule type="cellIs" dxfId="386" priority="418" operator="equal">
      <formula>"Moderado"</formula>
    </cfRule>
    <cfRule type="cellIs" dxfId="385" priority="419" operator="equal">
      <formula>"Menor"</formula>
    </cfRule>
    <cfRule type="cellIs" dxfId="384" priority="420" operator="equal">
      <formula>"Leve"</formula>
    </cfRule>
  </conditionalFormatting>
  <conditionalFormatting sqref="AE27:AE32">
    <cfRule type="cellIs" dxfId="383" priority="412" operator="equal">
      <formula>"Extremo"</formula>
    </cfRule>
    <cfRule type="cellIs" dxfId="382" priority="413" operator="equal">
      <formula>"Alto"</formula>
    </cfRule>
    <cfRule type="cellIs" dxfId="381" priority="414" operator="equal">
      <formula>"Moderado"</formula>
    </cfRule>
    <cfRule type="cellIs" dxfId="380" priority="415" operator="equal">
      <formula>"Bajo"</formula>
    </cfRule>
  </conditionalFormatting>
  <conditionalFormatting sqref="J33">
    <cfRule type="cellIs" dxfId="379" priority="407" operator="equal">
      <formula>"Muy Alta"</formula>
    </cfRule>
    <cfRule type="cellIs" dxfId="378" priority="408" operator="equal">
      <formula>"Alta"</formula>
    </cfRule>
    <cfRule type="cellIs" dxfId="377" priority="409" operator="equal">
      <formula>"Media"</formula>
    </cfRule>
    <cfRule type="cellIs" dxfId="376" priority="410" operator="equal">
      <formula>"Baja"</formula>
    </cfRule>
    <cfRule type="cellIs" dxfId="375" priority="411" operator="equal">
      <formula>"Muy Baja"</formula>
    </cfRule>
  </conditionalFormatting>
  <conditionalFormatting sqref="P33">
    <cfRule type="cellIs" dxfId="374" priority="398" operator="equal">
      <formula>"Extremo"</formula>
    </cfRule>
    <cfRule type="cellIs" dxfId="373" priority="399" operator="equal">
      <formula>"Alto"</formula>
    </cfRule>
    <cfRule type="cellIs" dxfId="372" priority="400" operator="equal">
      <formula>"Moderado"</formula>
    </cfRule>
    <cfRule type="cellIs" dxfId="371" priority="401" operator="equal">
      <formula>"Bajo"</formula>
    </cfRule>
  </conditionalFormatting>
  <conditionalFormatting sqref="AA33:AA38">
    <cfRule type="cellIs" dxfId="370" priority="393" operator="equal">
      <formula>"Muy Alta"</formula>
    </cfRule>
    <cfRule type="cellIs" dxfId="369" priority="394" operator="equal">
      <formula>"Alta"</formula>
    </cfRule>
    <cfRule type="cellIs" dxfId="368" priority="395" operator="equal">
      <formula>"Media"</formula>
    </cfRule>
    <cfRule type="cellIs" dxfId="367" priority="396" operator="equal">
      <formula>"Baja"</formula>
    </cfRule>
    <cfRule type="cellIs" dxfId="366" priority="397" operator="equal">
      <formula>"Muy Baja"</formula>
    </cfRule>
  </conditionalFormatting>
  <conditionalFormatting sqref="AC33:AC38">
    <cfRule type="cellIs" dxfId="365" priority="388" operator="equal">
      <formula>"Catastrófico"</formula>
    </cfRule>
    <cfRule type="cellIs" dxfId="364" priority="389" operator="equal">
      <formula>"Mayor"</formula>
    </cfRule>
    <cfRule type="cellIs" dxfId="363" priority="390" operator="equal">
      <formula>"Moderado"</formula>
    </cfRule>
    <cfRule type="cellIs" dxfId="362" priority="391" operator="equal">
      <formula>"Menor"</formula>
    </cfRule>
    <cfRule type="cellIs" dxfId="361" priority="392" operator="equal">
      <formula>"Leve"</formula>
    </cfRule>
  </conditionalFormatting>
  <conditionalFormatting sqref="AE33:AE38">
    <cfRule type="cellIs" dxfId="360" priority="384" operator="equal">
      <formula>"Extremo"</formula>
    </cfRule>
    <cfRule type="cellIs" dxfId="359" priority="385" operator="equal">
      <formula>"Alto"</formula>
    </cfRule>
    <cfRule type="cellIs" dxfId="358" priority="386" operator="equal">
      <formula>"Moderado"</formula>
    </cfRule>
    <cfRule type="cellIs" dxfId="357" priority="387" operator="equal">
      <formula>"Bajo"</formula>
    </cfRule>
  </conditionalFormatting>
  <conditionalFormatting sqref="J39">
    <cfRule type="cellIs" dxfId="356" priority="379" operator="equal">
      <formula>"Muy Alta"</formula>
    </cfRule>
    <cfRule type="cellIs" dxfId="355" priority="380" operator="equal">
      <formula>"Alta"</formula>
    </cfRule>
    <cfRule type="cellIs" dxfId="354" priority="381" operator="equal">
      <formula>"Media"</formula>
    </cfRule>
    <cfRule type="cellIs" dxfId="353" priority="382" operator="equal">
      <formula>"Baja"</formula>
    </cfRule>
    <cfRule type="cellIs" dxfId="352" priority="383" operator="equal">
      <formula>"Muy Baja"</formula>
    </cfRule>
  </conditionalFormatting>
  <conditionalFormatting sqref="P39">
    <cfRule type="cellIs" dxfId="351" priority="370" operator="equal">
      <formula>"Extremo"</formula>
    </cfRule>
    <cfRule type="cellIs" dxfId="350" priority="371" operator="equal">
      <formula>"Alto"</formula>
    </cfRule>
    <cfRule type="cellIs" dxfId="349" priority="372" operator="equal">
      <formula>"Moderado"</formula>
    </cfRule>
    <cfRule type="cellIs" dxfId="348" priority="373" operator="equal">
      <formula>"Bajo"</formula>
    </cfRule>
  </conditionalFormatting>
  <conditionalFormatting sqref="AA39:AA44">
    <cfRule type="cellIs" dxfId="347" priority="365" operator="equal">
      <formula>"Muy Alta"</formula>
    </cfRule>
    <cfRule type="cellIs" dxfId="346" priority="366" operator="equal">
      <formula>"Alta"</formula>
    </cfRule>
    <cfRule type="cellIs" dxfId="345" priority="367" operator="equal">
      <formula>"Media"</formula>
    </cfRule>
    <cfRule type="cellIs" dxfId="344" priority="368" operator="equal">
      <formula>"Baja"</formula>
    </cfRule>
    <cfRule type="cellIs" dxfId="343" priority="369" operator="equal">
      <formula>"Muy Baja"</formula>
    </cfRule>
  </conditionalFormatting>
  <conditionalFormatting sqref="AC39:AC44">
    <cfRule type="cellIs" dxfId="342" priority="360" operator="equal">
      <formula>"Catastrófico"</formula>
    </cfRule>
    <cfRule type="cellIs" dxfId="341" priority="361" operator="equal">
      <formula>"Mayor"</formula>
    </cfRule>
    <cfRule type="cellIs" dxfId="340" priority="362" operator="equal">
      <formula>"Moderado"</formula>
    </cfRule>
    <cfRule type="cellIs" dxfId="339" priority="363" operator="equal">
      <formula>"Menor"</formula>
    </cfRule>
    <cfRule type="cellIs" dxfId="338" priority="364" operator="equal">
      <formula>"Leve"</formula>
    </cfRule>
  </conditionalFormatting>
  <conditionalFormatting sqref="AE39:AE44">
    <cfRule type="cellIs" dxfId="337" priority="356" operator="equal">
      <formula>"Extremo"</formula>
    </cfRule>
    <cfRule type="cellIs" dxfId="336" priority="357" operator="equal">
      <formula>"Alto"</formula>
    </cfRule>
    <cfRule type="cellIs" dxfId="335" priority="358" operator="equal">
      <formula>"Moderado"</formula>
    </cfRule>
    <cfRule type="cellIs" dxfId="334" priority="359" operator="equal">
      <formula>"Bajo"</formula>
    </cfRule>
  </conditionalFormatting>
  <conditionalFormatting sqref="J45">
    <cfRule type="cellIs" dxfId="333" priority="351" operator="equal">
      <formula>"Muy Alta"</formula>
    </cfRule>
    <cfRule type="cellIs" dxfId="332" priority="352" operator="equal">
      <formula>"Alta"</formula>
    </cfRule>
    <cfRule type="cellIs" dxfId="331" priority="353" operator="equal">
      <formula>"Media"</formula>
    </cfRule>
    <cfRule type="cellIs" dxfId="330" priority="354" operator="equal">
      <formula>"Baja"</formula>
    </cfRule>
    <cfRule type="cellIs" dxfId="329" priority="355" operator="equal">
      <formula>"Muy Baja"</formula>
    </cfRule>
  </conditionalFormatting>
  <conditionalFormatting sqref="P45">
    <cfRule type="cellIs" dxfId="328" priority="342" operator="equal">
      <formula>"Extremo"</formula>
    </cfRule>
    <cfRule type="cellIs" dxfId="327" priority="343" operator="equal">
      <formula>"Alto"</formula>
    </cfRule>
    <cfRule type="cellIs" dxfId="326" priority="344" operator="equal">
      <formula>"Moderado"</formula>
    </cfRule>
    <cfRule type="cellIs" dxfId="325" priority="345" operator="equal">
      <formula>"Bajo"</formula>
    </cfRule>
  </conditionalFormatting>
  <conditionalFormatting sqref="AA45:AA50">
    <cfRule type="cellIs" dxfId="324" priority="337" operator="equal">
      <formula>"Muy Alta"</formula>
    </cfRule>
    <cfRule type="cellIs" dxfId="323" priority="338" operator="equal">
      <formula>"Alta"</formula>
    </cfRule>
    <cfRule type="cellIs" dxfId="322" priority="339" operator="equal">
      <formula>"Media"</formula>
    </cfRule>
    <cfRule type="cellIs" dxfId="321" priority="340" operator="equal">
      <formula>"Baja"</formula>
    </cfRule>
    <cfRule type="cellIs" dxfId="320" priority="341" operator="equal">
      <formula>"Muy Baja"</formula>
    </cfRule>
  </conditionalFormatting>
  <conditionalFormatting sqref="AC45:AC50">
    <cfRule type="cellIs" dxfId="319" priority="332" operator="equal">
      <formula>"Catastrófico"</formula>
    </cfRule>
    <cfRule type="cellIs" dxfId="318" priority="333" operator="equal">
      <formula>"Mayor"</formula>
    </cfRule>
    <cfRule type="cellIs" dxfId="317" priority="334" operator="equal">
      <formula>"Moderado"</formula>
    </cfRule>
    <cfRule type="cellIs" dxfId="316" priority="335" operator="equal">
      <formula>"Menor"</formula>
    </cfRule>
    <cfRule type="cellIs" dxfId="315" priority="336" operator="equal">
      <formula>"Leve"</formula>
    </cfRule>
  </conditionalFormatting>
  <conditionalFormatting sqref="AE45:AE50">
    <cfRule type="cellIs" dxfId="314" priority="328" operator="equal">
      <formula>"Extremo"</formula>
    </cfRule>
    <cfRule type="cellIs" dxfId="313" priority="329" operator="equal">
      <formula>"Alto"</formula>
    </cfRule>
    <cfRule type="cellIs" dxfId="312" priority="330" operator="equal">
      <formula>"Moderado"</formula>
    </cfRule>
    <cfRule type="cellIs" dxfId="311" priority="331" operator="equal">
      <formula>"Bajo"</formula>
    </cfRule>
  </conditionalFormatting>
  <conditionalFormatting sqref="J51">
    <cfRule type="cellIs" dxfId="310" priority="323" operator="equal">
      <formula>"Muy Alta"</formula>
    </cfRule>
    <cfRule type="cellIs" dxfId="309" priority="324" operator="equal">
      <formula>"Alta"</formula>
    </cfRule>
    <cfRule type="cellIs" dxfId="308" priority="325" operator="equal">
      <formula>"Media"</formula>
    </cfRule>
    <cfRule type="cellIs" dxfId="307" priority="326" operator="equal">
      <formula>"Baja"</formula>
    </cfRule>
    <cfRule type="cellIs" dxfId="306" priority="327" operator="equal">
      <formula>"Muy Baja"</formula>
    </cfRule>
  </conditionalFormatting>
  <conditionalFormatting sqref="P51">
    <cfRule type="cellIs" dxfId="305" priority="314" operator="equal">
      <formula>"Extremo"</formula>
    </cfRule>
    <cfRule type="cellIs" dxfId="304" priority="315" operator="equal">
      <formula>"Alto"</formula>
    </cfRule>
    <cfRule type="cellIs" dxfId="303" priority="316" operator="equal">
      <formula>"Moderado"</formula>
    </cfRule>
    <cfRule type="cellIs" dxfId="302" priority="317" operator="equal">
      <formula>"Bajo"</formula>
    </cfRule>
  </conditionalFormatting>
  <conditionalFormatting sqref="AA51:AA56">
    <cfRule type="cellIs" dxfId="301" priority="309" operator="equal">
      <formula>"Muy Alta"</formula>
    </cfRule>
    <cfRule type="cellIs" dxfId="300" priority="310" operator="equal">
      <formula>"Alta"</formula>
    </cfRule>
    <cfRule type="cellIs" dxfId="299" priority="311" operator="equal">
      <formula>"Media"</formula>
    </cfRule>
    <cfRule type="cellIs" dxfId="298" priority="312" operator="equal">
      <formula>"Baja"</formula>
    </cfRule>
    <cfRule type="cellIs" dxfId="297" priority="313" operator="equal">
      <formula>"Muy Baja"</formula>
    </cfRule>
  </conditionalFormatting>
  <conditionalFormatting sqref="AC51:AC56">
    <cfRule type="cellIs" dxfId="296" priority="304" operator="equal">
      <formula>"Catastrófico"</formula>
    </cfRule>
    <cfRule type="cellIs" dxfId="295" priority="305" operator="equal">
      <formula>"Mayor"</formula>
    </cfRule>
    <cfRule type="cellIs" dxfId="294" priority="306" operator="equal">
      <formula>"Moderado"</formula>
    </cfRule>
    <cfRule type="cellIs" dxfId="293" priority="307" operator="equal">
      <formula>"Menor"</formula>
    </cfRule>
    <cfRule type="cellIs" dxfId="292" priority="308" operator="equal">
      <formula>"Leve"</formula>
    </cfRule>
  </conditionalFormatting>
  <conditionalFormatting sqref="AE51:AE56">
    <cfRule type="cellIs" dxfId="291" priority="300" operator="equal">
      <formula>"Extremo"</formula>
    </cfRule>
    <cfRule type="cellIs" dxfId="290" priority="301" operator="equal">
      <formula>"Alto"</formula>
    </cfRule>
    <cfRule type="cellIs" dxfId="289" priority="302" operator="equal">
      <formula>"Moderado"</formula>
    </cfRule>
    <cfRule type="cellIs" dxfId="288" priority="303" operator="equal">
      <formula>"Bajo"</formula>
    </cfRule>
  </conditionalFormatting>
  <conditionalFormatting sqref="P57">
    <cfRule type="cellIs" dxfId="287" priority="286" operator="equal">
      <formula>"Extremo"</formula>
    </cfRule>
    <cfRule type="cellIs" dxfId="286" priority="287" operator="equal">
      <formula>"Alto"</formula>
    </cfRule>
    <cfRule type="cellIs" dxfId="285" priority="288" operator="equal">
      <formula>"Moderado"</formula>
    </cfRule>
    <cfRule type="cellIs" dxfId="284" priority="289" operator="equal">
      <formula>"Bajo"</formula>
    </cfRule>
  </conditionalFormatting>
  <conditionalFormatting sqref="AA57:AA62">
    <cfRule type="cellIs" dxfId="283" priority="281" operator="equal">
      <formula>"Muy Alta"</formula>
    </cfRule>
    <cfRule type="cellIs" dxfId="282" priority="282" operator="equal">
      <formula>"Alta"</formula>
    </cfRule>
    <cfRule type="cellIs" dxfId="281" priority="283" operator="equal">
      <formula>"Media"</formula>
    </cfRule>
    <cfRule type="cellIs" dxfId="280" priority="284" operator="equal">
      <formula>"Baja"</formula>
    </cfRule>
    <cfRule type="cellIs" dxfId="279" priority="285" operator="equal">
      <formula>"Muy Baja"</formula>
    </cfRule>
  </conditionalFormatting>
  <conditionalFormatting sqref="AC57:AC62">
    <cfRule type="cellIs" dxfId="278" priority="276" operator="equal">
      <formula>"Catastrófico"</formula>
    </cfRule>
    <cfRule type="cellIs" dxfId="277" priority="277" operator="equal">
      <formula>"Mayor"</formula>
    </cfRule>
    <cfRule type="cellIs" dxfId="276" priority="278" operator="equal">
      <formula>"Moderado"</formula>
    </cfRule>
    <cfRule type="cellIs" dxfId="275" priority="279" operator="equal">
      <formula>"Menor"</formula>
    </cfRule>
    <cfRule type="cellIs" dxfId="274" priority="280" operator="equal">
      <formula>"Leve"</formula>
    </cfRule>
  </conditionalFormatting>
  <conditionalFormatting sqref="AE57:AE62">
    <cfRule type="cellIs" dxfId="273" priority="272" operator="equal">
      <formula>"Extremo"</formula>
    </cfRule>
    <cfRule type="cellIs" dxfId="272" priority="273" operator="equal">
      <formula>"Alto"</formula>
    </cfRule>
    <cfRule type="cellIs" dxfId="271" priority="274" operator="equal">
      <formula>"Moderado"</formula>
    </cfRule>
    <cfRule type="cellIs" dxfId="270" priority="275" operator="equal">
      <formula>"Bajo"</formula>
    </cfRule>
  </conditionalFormatting>
  <conditionalFormatting sqref="J63">
    <cfRule type="cellIs" dxfId="269" priority="267" operator="equal">
      <formula>"Muy Alta"</formula>
    </cfRule>
    <cfRule type="cellIs" dxfId="268" priority="268" operator="equal">
      <formula>"Alta"</formula>
    </cfRule>
    <cfRule type="cellIs" dxfId="267" priority="269" operator="equal">
      <formula>"Media"</formula>
    </cfRule>
    <cfRule type="cellIs" dxfId="266" priority="270" operator="equal">
      <formula>"Baja"</formula>
    </cfRule>
    <cfRule type="cellIs" dxfId="265" priority="271" operator="equal">
      <formula>"Muy Baja"</formula>
    </cfRule>
  </conditionalFormatting>
  <conditionalFormatting sqref="P63">
    <cfRule type="cellIs" dxfId="264" priority="258" operator="equal">
      <formula>"Extremo"</formula>
    </cfRule>
    <cfRule type="cellIs" dxfId="263" priority="259" operator="equal">
      <formula>"Alto"</formula>
    </cfRule>
    <cfRule type="cellIs" dxfId="262" priority="260" operator="equal">
      <formula>"Moderado"</formula>
    </cfRule>
    <cfRule type="cellIs" dxfId="261" priority="261" operator="equal">
      <formula>"Bajo"</formula>
    </cfRule>
  </conditionalFormatting>
  <conditionalFormatting sqref="AA63:AA68">
    <cfRule type="cellIs" dxfId="260" priority="253" operator="equal">
      <formula>"Muy Alta"</formula>
    </cfRule>
    <cfRule type="cellIs" dxfId="259" priority="254" operator="equal">
      <formula>"Alta"</formula>
    </cfRule>
    <cfRule type="cellIs" dxfId="258" priority="255" operator="equal">
      <formula>"Media"</formula>
    </cfRule>
    <cfRule type="cellIs" dxfId="257" priority="256" operator="equal">
      <formula>"Baja"</formula>
    </cfRule>
    <cfRule type="cellIs" dxfId="256" priority="257" operator="equal">
      <formula>"Muy Baja"</formula>
    </cfRule>
  </conditionalFormatting>
  <conditionalFormatting sqref="AC63:AC68">
    <cfRule type="cellIs" dxfId="255" priority="248" operator="equal">
      <formula>"Catastrófico"</formula>
    </cfRule>
    <cfRule type="cellIs" dxfId="254" priority="249" operator="equal">
      <formula>"Mayor"</formula>
    </cfRule>
    <cfRule type="cellIs" dxfId="253" priority="250" operator="equal">
      <formula>"Moderado"</formula>
    </cfRule>
    <cfRule type="cellIs" dxfId="252" priority="251" operator="equal">
      <formula>"Menor"</formula>
    </cfRule>
    <cfRule type="cellIs" dxfId="251" priority="252" operator="equal">
      <formula>"Leve"</formula>
    </cfRule>
  </conditionalFormatting>
  <conditionalFormatting sqref="AE63:AE68">
    <cfRule type="cellIs" dxfId="250" priority="244" operator="equal">
      <formula>"Extremo"</formula>
    </cfRule>
    <cfRule type="cellIs" dxfId="249" priority="245" operator="equal">
      <formula>"Alto"</formula>
    </cfRule>
    <cfRule type="cellIs" dxfId="248" priority="246" operator="equal">
      <formula>"Moderado"</formula>
    </cfRule>
    <cfRule type="cellIs" dxfId="247" priority="247" operator="equal">
      <formula>"Bajo"</formula>
    </cfRule>
  </conditionalFormatting>
  <conditionalFormatting sqref="M15:M68">
    <cfRule type="containsText" dxfId="246" priority="243" operator="containsText" text="❌">
      <formula>NOT(ISERROR(SEARCH("❌",M15)))</formula>
    </cfRule>
  </conditionalFormatting>
  <conditionalFormatting sqref="J69 J75">
    <cfRule type="cellIs" dxfId="245" priority="238" operator="equal">
      <formula>"Muy Alta"</formula>
    </cfRule>
    <cfRule type="cellIs" dxfId="244" priority="239" operator="equal">
      <formula>"Alta"</formula>
    </cfRule>
    <cfRule type="cellIs" dxfId="243" priority="240" operator="equal">
      <formula>"Media"</formula>
    </cfRule>
    <cfRule type="cellIs" dxfId="242" priority="241" operator="equal">
      <formula>"Baja"</formula>
    </cfRule>
    <cfRule type="cellIs" dxfId="241" priority="242" operator="equal">
      <formula>"Muy Baja"</formula>
    </cfRule>
  </conditionalFormatting>
  <conditionalFormatting sqref="N69 N75 N81 N87 N93 N99 N105 N111 N117 N123">
    <cfRule type="cellIs" dxfId="240" priority="233" operator="equal">
      <formula>"Catastrófico"</formula>
    </cfRule>
    <cfRule type="cellIs" dxfId="239" priority="234" operator="equal">
      <formula>"Mayor"</formula>
    </cfRule>
    <cfRule type="cellIs" dxfId="238" priority="235" operator="equal">
      <formula>"Moderado"</formula>
    </cfRule>
    <cfRule type="cellIs" dxfId="237" priority="236" operator="equal">
      <formula>"Menor"</formula>
    </cfRule>
    <cfRule type="cellIs" dxfId="236" priority="237" operator="equal">
      <formula>"Leve"</formula>
    </cfRule>
  </conditionalFormatting>
  <conditionalFormatting sqref="P69">
    <cfRule type="cellIs" dxfId="235" priority="229" operator="equal">
      <formula>"Extremo"</formula>
    </cfRule>
    <cfRule type="cellIs" dxfId="234" priority="230" operator="equal">
      <formula>"Alto"</formula>
    </cfRule>
    <cfRule type="cellIs" dxfId="233" priority="231" operator="equal">
      <formula>"Moderado"</formula>
    </cfRule>
    <cfRule type="cellIs" dxfId="232" priority="232" operator="equal">
      <formula>"Bajo"</formula>
    </cfRule>
  </conditionalFormatting>
  <conditionalFormatting sqref="AA69:AA74">
    <cfRule type="cellIs" dxfId="231" priority="224" operator="equal">
      <formula>"Muy Alta"</formula>
    </cfRule>
    <cfRule type="cellIs" dxfId="230" priority="225" operator="equal">
      <formula>"Alta"</formula>
    </cfRule>
    <cfRule type="cellIs" dxfId="229" priority="226" operator="equal">
      <formula>"Media"</formula>
    </cfRule>
    <cfRule type="cellIs" dxfId="228" priority="227" operator="equal">
      <formula>"Baja"</formula>
    </cfRule>
    <cfRule type="cellIs" dxfId="227" priority="228" operator="equal">
      <formula>"Muy Baja"</formula>
    </cfRule>
  </conditionalFormatting>
  <conditionalFormatting sqref="AC69:AC74">
    <cfRule type="cellIs" dxfId="226" priority="219" operator="equal">
      <formula>"Catastrófico"</formula>
    </cfRule>
    <cfRule type="cellIs" dxfId="225" priority="220" operator="equal">
      <formula>"Mayor"</formula>
    </cfRule>
    <cfRule type="cellIs" dxfId="224" priority="221" operator="equal">
      <formula>"Moderado"</formula>
    </cfRule>
    <cfRule type="cellIs" dxfId="223" priority="222" operator="equal">
      <formula>"Menor"</formula>
    </cfRule>
    <cfRule type="cellIs" dxfId="222" priority="223" operator="equal">
      <formula>"Leve"</formula>
    </cfRule>
  </conditionalFormatting>
  <conditionalFormatting sqref="AE69:AE74">
    <cfRule type="cellIs" dxfId="221" priority="215" operator="equal">
      <formula>"Extremo"</formula>
    </cfRule>
    <cfRule type="cellIs" dxfId="220" priority="216" operator="equal">
      <formula>"Alto"</formula>
    </cfRule>
    <cfRule type="cellIs" dxfId="219" priority="217" operator="equal">
      <formula>"Moderado"</formula>
    </cfRule>
    <cfRule type="cellIs" dxfId="218" priority="218" operator="equal">
      <formula>"Bajo"</formula>
    </cfRule>
  </conditionalFormatting>
  <conditionalFormatting sqref="J117">
    <cfRule type="cellIs" dxfId="217" priority="54" operator="equal">
      <formula>"Muy Alta"</formula>
    </cfRule>
    <cfRule type="cellIs" dxfId="216" priority="55" operator="equal">
      <formula>"Alta"</formula>
    </cfRule>
    <cfRule type="cellIs" dxfId="215" priority="56" operator="equal">
      <formula>"Media"</formula>
    </cfRule>
    <cfRule type="cellIs" dxfId="214" priority="57" operator="equal">
      <formula>"Baja"</formula>
    </cfRule>
    <cfRule type="cellIs" dxfId="213" priority="58" operator="equal">
      <formula>"Muy Baja"</formula>
    </cfRule>
  </conditionalFormatting>
  <conditionalFormatting sqref="P75">
    <cfRule type="cellIs" dxfId="212" priority="211" operator="equal">
      <formula>"Extremo"</formula>
    </cfRule>
    <cfRule type="cellIs" dxfId="211" priority="212" operator="equal">
      <formula>"Alto"</formula>
    </cfRule>
    <cfRule type="cellIs" dxfId="210" priority="213" operator="equal">
      <formula>"Moderado"</formula>
    </cfRule>
    <cfRule type="cellIs" dxfId="209" priority="214" operator="equal">
      <formula>"Bajo"</formula>
    </cfRule>
  </conditionalFormatting>
  <conditionalFormatting sqref="AA75:AA80">
    <cfRule type="cellIs" dxfId="208" priority="206" operator="equal">
      <formula>"Muy Alta"</formula>
    </cfRule>
    <cfRule type="cellIs" dxfId="207" priority="207" operator="equal">
      <formula>"Alta"</formula>
    </cfRule>
    <cfRule type="cellIs" dxfId="206" priority="208" operator="equal">
      <formula>"Media"</formula>
    </cfRule>
    <cfRule type="cellIs" dxfId="205" priority="209" operator="equal">
      <formula>"Baja"</formula>
    </cfRule>
    <cfRule type="cellIs" dxfId="204" priority="210" operator="equal">
      <formula>"Muy Baja"</formula>
    </cfRule>
  </conditionalFormatting>
  <conditionalFormatting sqref="AC75:AC80">
    <cfRule type="cellIs" dxfId="203" priority="201" operator="equal">
      <formula>"Catastrófico"</formula>
    </cfRule>
    <cfRule type="cellIs" dxfId="202" priority="202" operator="equal">
      <formula>"Mayor"</formula>
    </cfRule>
    <cfRule type="cellIs" dxfId="201" priority="203" operator="equal">
      <formula>"Moderado"</formula>
    </cfRule>
    <cfRule type="cellIs" dxfId="200" priority="204" operator="equal">
      <formula>"Menor"</formula>
    </cfRule>
    <cfRule type="cellIs" dxfId="199" priority="205" operator="equal">
      <formula>"Leve"</formula>
    </cfRule>
  </conditionalFormatting>
  <conditionalFormatting sqref="AE75:AE80">
    <cfRule type="cellIs" dxfId="198" priority="197" operator="equal">
      <formula>"Extremo"</formula>
    </cfRule>
    <cfRule type="cellIs" dxfId="197" priority="198" operator="equal">
      <formula>"Alto"</formula>
    </cfRule>
    <cfRule type="cellIs" dxfId="196" priority="199" operator="equal">
      <formula>"Moderado"</formula>
    </cfRule>
    <cfRule type="cellIs" dxfId="195" priority="200" operator="equal">
      <formula>"Bajo"</formula>
    </cfRule>
  </conditionalFormatting>
  <conditionalFormatting sqref="J81">
    <cfRule type="cellIs" dxfId="194" priority="192" operator="equal">
      <formula>"Muy Alta"</formula>
    </cfRule>
    <cfRule type="cellIs" dxfId="193" priority="193" operator="equal">
      <formula>"Alta"</formula>
    </cfRule>
    <cfRule type="cellIs" dxfId="192" priority="194" operator="equal">
      <formula>"Media"</formula>
    </cfRule>
    <cfRule type="cellIs" dxfId="191" priority="195" operator="equal">
      <formula>"Baja"</formula>
    </cfRule>
    <cfRule type="cellIs" dxfId="190" priority="196" operator="equal">
      <formula>"Muy Baja"</formula>
    </cfRule>
  </conditionalFormatting>
  <conditionalFormatting sqref="P81">
    <cfRule type="cellIs" dxfId="189" priority="188" operator="equal">
      <formula>"Extremo"</formula>
    </cfRule>
    <cfRule type="cellIs" dxfId="188" priority="189" operator="equal">
      <formula>"Alto"</formula>
    </cfRule>
    <cfRule type="cellIs" dxfId="187" priority="190" operator="equal">
      <formula>"Moderado"</formula>
    </cfRule>
    <cfRule type="cellIs" dxfId="186" priority="191" operator="equal">
      <formula>"Bajo"</formula>
    </cfRule>
  </conditionalFormatting>
  <conditionalFormatting sqref="AA81:AA86">
    <cfRule type="cellIs" dxfId="185" priority="183" operator="equal">
      <formula>"Muy Alta"</formula>
    </cfRule>
    <cfRule type="cellIs" dxfId="184" priority="184" operator="equal">
      <formula>"Alta"</formula>
    </cfRule>
    <cfRule type="cellIs" dxfId="183" priority="185" operator="equal">
      <formula>"Media"</formula>
    </cfRule>
    <cfRule type="cellIs" dxfId="182" priority="186" operator="equal">
      <formula>"Baja"</formula>
    </cfRule>
    <cfRule type="cellIs" dxfId="181" priority="187" operator="equal">
      <formula>"Muy Baja"</formula>
    </cfRule>
  </conditionalFormatting>
  <conditionalFormatting sqref="AC81:AC86">
    <cfRule type="cellIs" dxfId="180" priority="178" operator="equal">
      <formula>"Catastrófico"</formula>
    </cfRule>
    <cfRule type="cellIs" dxfId="179" priority="179" operator="equal">
      <formula>"Mayor"</formula>
    </cfRule>
    <cfRule type="cellIs" dxfId="178" priority="180" operator="equal">
      <formula>"Moderado"</formula>
    </cfRule>
    <cfRule type="cellIs" dxfId="177" priority="181" operator="equal">
      <formula>"Menor"</formula>
    </cfRule>
    <cfRule type="cellIs" dxfId="176" priority="182" operator="equal">
      <formula>"Leve"</formula>
    </cfRule>
  </conditionalFormatting>
  <conditionalFormatting sqref="AE81:AE86">
    <cfRule type="cellIs" dxfId="175" priority="174" operator="equal">
      <formula>"Extremo"</formula>
    </cfRule>
    <cfRule type="cellIs" dxfId="174" priority="175" operator="equal">
      <formula>"Alto"</formula>
    </cfRule>
    <cfRule type="cellIs" dxfId="173" priority="176" operator="equal">
      <formula>"Moderado"</formula>
    </cfRule>
    <cfRule type="cellIs" dxfId="172" priority="177" operator="equal">
      <formula>"Bajo"</formula>
    </cfRule>
  </conditionalFormatting>
  <conditionalFormatting sqref="J87">
    <cfRule type="cellIs" dxfId="171" priority="169" operator="equal">
      <formula>"Muy Alta"</formula>
    </cfRule>
    <cfRule type="cellIs" dxfId="170" priority="170" operator="equal">
      <formula>"Alta"</formula>
    </cfRule>
    <cfRule type="cellIs" dxfId="169" priority="171" operator="equal">
      <formula>"Media"</formula>
    </cfRule>
    <cfRule type="cellIs" dxfId="168" priority="172" operator="equal">
      <formula>"Baja"</formula>
    </cfRule>
    <cfRule type="cellIs" dxfId="167" priority="173" operator="equal">
      <formula>"Muy Baja"</formula>
    </cfRule>
  </conditionalFormatting>
  <conditionalFormatting sqref="P87">
    <cfRule type="cellIs" dxfId="166" priority="165" operator="equal">
      <formula>"Extremo"</formula>
    </cfRule>
    <cfRule type="cellIs" dxfId="165" priority="166" operator="equal">
      <formula>"Alto"</formula>
    </cfRule>
    <cfRule type="cellIs" dxfId="164" priority="167" operator="equal">
      <formula>"Moderado"</formula>
    </cfRule>
    <cfRule type="cellIs" dxfId="163" priority="168" operator="equal">
      <formula>"Bajo"</formula>
    </cfRule>
  </conditionalFormatting>
  <conditionalFormatting sqref="AA87:AA92">
    <cfRule type="cellIs" dxfId="162" priority="160" operator="equal">
      <formula>"Muy Alta"</formula>
    </cfRule>
    <cfRule type="cellIs" dxfId="161" priority="161" operator="equal">
      <formula>"Alta"</formula>
    </cfRule>
    <cfRule type="cellIs" dxfId="160" priority="162" operator="equal">
      <formula>"Media"</formula>
    </cfRule>
    <cfRule type="cellIs" dxfId="159" priority="163" operator="equal">
      <formula>"Baja"</formula>
    </cfRule>
    <cfRule type="cellIs" dxfId="158" priority="164" operator="equal">
      <formula>"Muy Baja"</formula>
    </cfRule>
  </conditionalFormatting>
  <conditionalFormatting sqref="AC87:AC92">
    <cfRule type="cellIs" dxfId="157" priority="155" operator="equal">
      <formula>"Catastrófico"</formula>
    </cfRule>
    <cfRule type="cellIs" dxfId="156" priority="156" operator="equal">
      <formula>"Mayor"</formula>
    </cfRule>
    <cfRule type="cellIs" dxfId="155" priority="157" operator="equal">
      <formula>"Moderado"</formula>
    </cfRule>
    <cfRule type="cellIs" dxfId="154" priority="158" operator="equal">
      <formula>"Menor"</formula>
    </cfRule>
    <cfRule type="cellIs" dxfId="153" priority="159" operator="equal">
      <formula>"Leve"</formula>
    </cfRule>
  </conditionalFormatting>
  <conditionalFormatting sqref="AE87:AE92">
    <cfRule type="cellIs" dxfId="152" priority="151" operator="equal">
      <formula>"Extremo"</formula>
    </cfRule>
    <cfRule type="cellIs" dxfId="151" priority="152" operator="equal">
      <formula>"Alto"</formula>
    </cfRule>
    <cfRule type="cellIs" dxfId="150" priority="153" operator="equal">
      <formula>"Moderado"</formula>
    </cfRule>
    <cfRule type="cellIs" dxfId="149" priority="154" operator="equal">
      <formula>"Bajo"</formula>
    </cfRule>
  </conditionalFormatting>
  <conditionalFormatting sqref="J93">
    <cfRule type="cellIs" dxfId="148" priority="146" operator="equal">
      <formula>"Muy Alta"</formula>
    </cfRule>
    <cfRule type="cellIs" dxfId="147" priority="147" operator="equal">
      <formula>"Alta"</formula>
    </cfRule>
    <cfRule type="cellIs" dxfId="146" priority="148" operator="equal">
      <formula>"Media"</formula>
    </cfRule>
    <cfRule type="cellIs" dxfId="145" priority="149" operator="equal">
      <formula>"Baja"</formula>
    </cfRule>
    <cfRule type="cellIs" dxfId="144" priority="150" operator="equal">
      <formula>"Muy Baja"</formula>
    </cfRule>
  </conditionalFormatting>
  <conditionalFormatting sqref="P93">
    <cfRule type="cellIs" dxfId="143" priority="142" operator="equal">
      <formula>"Extremo"</formula>
    </cfRule>
    <cfRule type="cellIs" dxfId="142" priority="143" operator="equal">
      <formula>"Alto"</formula>
    </cfRule>
    <cfRule type="cellIs" dxfId="141" priority="144" operator="equal">
      <formula>"Moderado"</formula>
    </cfRule>
    <cfRule type="cellIs" dxfId="140" priority="145" operator="equal">
      <formula>"Bajo"</formula>
    </cfRule>
  </conditionalFormatting>
  <conditionalFormatting sqref="AA93:AA98">
    <cfRule type="cellIs" dxfId="139" priority="137" operator="equal">
      <formula>"Muy Alta"</formula>
    </cfRule>
    <cfRule type="cellIs" dxfId="138" priority="138" operator="equal">
      <formula>"Alta"</formula>
    </cfRule>
    <cfRule type="cellIs" dxfId="137" priority="139" operator="equal">
      <formula>"Media"</formula>
    </cfRule>
    <cfRule type="cellIs" dxfId="136" priority="140" operator="equal">
      <formula>"Baja"</formula>
    </cfRule>
    <cfRule type="cellIs" dxfId="135" priority="141" operator="equal">
      <formula>"Muy Baja"</formula>
    </cfRule>
  </conditionalFormatting>
  <conditionalFormatting sqref="AC93:AC98">
    <cfRule type="cellIs" dxfId="134" priority="132" operator="equal">
      <formula>"Catastrófico"</formula>
    </cfRule>
    <cfRule type="cellIs" dxfId="133" priority="133" operator="equal">
      <formula>"Mayor"</formula>
    </cfRule>
    <cfRule type="cellIs" dxfId="132" priority="134" operator="equal">
      <formula>"Moderado"</formula>
    </cfRule>
    <cfRule type="cellIs" dxfId="131" priority="135" operator="equal">
      <formula>"Menor"</formula>
    </cfRule>
    <cfRule type="cellIs" dxfId="130" priority="136" operator="equal">
      <formula>"Leve"</formula>
    </cfRule>
  </conditionalFormatting>
  <conditionalFormatting sqref="AE93:AE98">
    <cfRule type="cellIs" dxfId="129" priority="128" operator="equal">
      <formula>"Extremo"</formula>
    </cfRule>
    <cfRule type="cellIs" dxfId="128" priority="129" operator="equal">
      <formula>"Alto"</formula>
    </cfRule>
    <cfRule type="cellIs" dxfId="127" priority="130" operator="equal">
      <formula>"Moderado"</formula>
    </cfRule>
    <cfRule type="cellIs" dxfId="126" priority="131" operator="equal">
      <formula>"Bajo"</formula>
    </cfRule>
  </conditionalFormatting>
  <conditionalFormatting sqref="J99">
    <cfRule type="cellIs" dxfId="125" priority="123" operator="equal">
      <formula>"Muy Alta"</formula>
    </cfRule>
    <cfRule type="cellIs" dxfId="124" priority="124" operator="equal">
      <formula>"Alta"</formula>
    </cfRule>
    <cfRule type="cellIs" dxfId="123" priority="125" operator="equal">
      <formula>"Media"</formula>
    </cfRule>
    <cfRule type="cellIs" dxfId="122" priority="126" operator="equal">
      <formula>"Baja"</formula>
    </cfRule>
    <cfRule type="cellIs" dxfId="121" priority="127" operator="equal">
      <formula>"Muy Baja"</formula>
    </cfRule>
  </conditionalFormatting>
  <conditionalFormatting sqref="P99">
    <cfRule type="cellIs" dxfId="120" priority="119" operator="equal">
      <formula>"Extremo"</formula>
    </cfRule>
    <cfRule type="cellIs" dxfId="119" priority="120" operator="equal">
      <formula>"Alto"</formula>
    </cfRule>
    <cfRule type="cellIs" dxfId="118" priority="121" operator="equal">
      <formula>"Moderado"</formula>
    </cfRule>
    <cfRule type="cellIs" dxfId="117" priority="122" operator="equal">
      <formula>"Bajo"</formula>
    </cfRule>
  </conditionalFormatting>
  <conditionalFormatting sqref="AA99:AA104">
    <cfRule type="cellIs" dxfId="116" priority="114" operator="equal">
      <formula>"Muy Alta"</formula>
    </cfRule>
    <cfRule type="cellIs" dxfId="115" priority="115" operator="equal">
      <formula>"Alta"</formula>
    </cfRule>
    <cfRule type="cellIs" dxfId="114" priority="116" operator="equal">
      <formula>"Media"</formula>
    </cfRule>
    <cfRule type="cellIs" dxfId="113" priority="117" operator="equal">
      <formula>"Baja"</formula>
    </cfRule>
    <cfRule type="cellIs" dxfId="112" priority="118" operator="equal">
      <formula>"Muy Baja"</formula>
    </cfRule>
  </conditionalFormatting>
  <conditionalFormatting sqref="AC99:AC104">
    <cfRule type="cellIs" dxfId="111" priority="109" operator="equal">
      <formula>"Catastrófico"</formula>
    </cfRule>
    <cfRule type="cellIs" dxfId="110" priority="110" operator="equal">
      <formula>"Mayor"</formula>
    </cfRule>
    <cfRule type="cellIs" dxfId="109" priority="111" operator="equal">
      <formula>"Moderado"</formula>
    </cfRule>
    <cfRule type="cellIs" dxfId="108" priority="112" operator="equal">
      <formula>"Menor"</formula>
    </cfRule>
    <cfRule type="cellIs" dxfId="107" priority="113" operator="equal">
      <formula>"Leve"</formula>
    </cfRule>
  </conditionalFormatting>
  <conditionalFormatting sqref="AE99:AE104">
    <cfRule type="cellIs" dxfId="106" priority="105" operator="equal">
      <formula>"Extremo"</formula>
    </cfRule>
    <cfRule type="cellIs" dxfId="105" priority="106" operator="equal">
      <formula>"Alto"</formula>
    </cfRule>
    <cfRule type="cellIs" dxfId="104" priority="107" operator="equal">
      <formula>"Moderado"</formula>
    </cfRule>
    <cfRule type="cellIs" dxfId="103" priority="108" operator="equal">
      <formula>"Bajo"</formula>
    </cfRule>
  </conditionalFormatting>
  <conditionalFormatting sqref="J105">
    <cfRule type="cellIs" dxfId="102" priority="100" operator="equal">
      <formula>"Muy Alta"</formula>
    </cfRule>
    <cfRule type="cellIs" dxfId="101" priority="101" operator="equal">
      <formula>"Alta"</formula>
    </cfRule>
    <cfRule type="cellIs" dxfId="100" priority="102" operator="equal">
      <formula>"Media"</formula>
    </cfRule>
    <cfRule type="cellIs" dxfId="99" priority="103" operator="equal">
      <formula>"Baja"</formula>
    </cfRule>
    <cfRule type="cellIs" dxfId="98" priority="104" operator="equal">
      <formula>"Muy Baja"</formula>
    </cfRule>
  </conditionalFormatting>
  <conditionalFormatting sqref="P105">
    <cfRule type="cellIs" dxfId="97" priority="96" operator="equal">
      <formula>"Extremo"</formula>
    </cfRule>
    <cfRule type="cellIs" dxfId="96" priority="97" operator="equal">
      <formula>"Alto"</formula>
    </cfRule>
    <cfRule type="cellIs" dxfId="95" priority="98" operator="equal">
      <formula>"Moderado"</formula>
    </cfRule>
    <cfRule type="cellIs" dxfId="94" priority="99" operator="equal">
      <formula>"Bajo"</formula>
    </cfRule>
  </conditionalFormatting>
  <conditionalFormatting sqref="AA105:AA110">
    <cfRule type="cellIs" dxfId="93" priority="91" operator="equal">
      <formula>"Muy Alta"</formula>
    </cfRule>
    <cfRule type="cellIs" dxfId="92" priority="92" operator="equal">
      <formula>"Alta"</formula>
    </cfRule>
    <cfRule type="cellIs" dxfId="91" priority="93" operator="equal">
      <formula>"Media"</formula>
    </cfRule>
    <cfRule type="cellIs" dxfId="90" priority="94" operator="equal">
      <formula>"Baja"</formula>
    </cfRule>
    <cfRule type="cellIs" dxfId="89" priority="95" operator="equal">
      <formula>"Muy Baja"</formula>
    </cfRule>
  </conditionalFormatting>
  <conditionalFormatting sqref="AC105:AC110">
    <cfRule type="cellIs" dxfId="88" priority="86" operator="equal">
      <formula>"Catastrófico"</formula>
    </cfRule>
    <cfRule type="cellIs" dxfId="87" priority="87" operator="equal">
      <formula>"Mayor"</formula>
    </cfRule>
    <cfRule type="cellIs" dxfId="86" priority="88" operator="equal">
      <formula>"Moderado"</formula>
    </cfRule>
    <cfRule type="cellIs" dxfId="85" priority="89" operator="equal">
      <formula>"Menor"</formula>
    </cfRule>
    <cfRule type="cellIs" dxfId="84" priority="90" operator="equal">
      <formula>"Leve"</formula>
    </cfRule>
  </conditionalFormatting>
  <conditionalFormatting sqref="AE105:AE110">
    <cfRule type="cellIs" dxfId="83" priority="82" operator="equal">
      <formula>"Extremo"</formula>
    </cfRule>
    <cfRule type="cellIs" dxfId="82" priority="83" operator="equal">
      <formula>"Alto"</formula>
    </cfRule>
    <cfRule type="cellIs" dxfId="81" priority="84" operator="equal">
      <formula>"Moderado"</formula>
    </cfRule>
    <cfRule type="cellIs" dxfId="80" priority="85" operator="equal">
      <formula>"Bajo"</formula>
    </cfRule>
  </conditionalFormatting>
  <conditionalFormatting sqref="J111">
    <cfRule type="cellIs" dxfId="79" priority="77" operator="equal">
      <formula>"Muy Alta"</formula>
    </cfRule>
    <cfRule type="cellIs" dxfId="78" priority="78" operator="equal">
      <formula>"Alta"</formula>
    </cfRule>
    <cfRule type="cellIs" dxfId="77" priority="79" operator="equal">
      <formula>"Media"</formula>
    </cfRule>
    <cfRule type="cellIs" dxfId="76" priority="80" operator="equal">
      <formula>"Baja"</formula>
    </cfRule>
    <cfRule type="cellIs" dxfId="75" priority="81" operator="equal">
      <formula>"Muy Baja"</formula>
    </cfRule>
  </conditionalFormatting>
  <conditionalFormatting sqref="P111">
    <cfRule type="cellIs" dxfId="74" priority="73" operator="equal">
      <formula>"Extremo"</formula>
    </cfRule>
    <cfRule type="cellIs" dxfId="73" priority="74" operator="equal">
      <formula>"Alto"</formula>
    </cfRule>
    <cfRule type="cellIs" dxfId="72" priority="75" operator="equal">
      <formula>"Moderado"</formula>
    </cfRule>
    <cfRule type="cellIs" dxfId="71" priority="76" operator="equal">
      <formula>"Bajo"</formula>
    </cfRule>
  </conditionalFormatting>
  <conditionalFormatting sqref="AA111:AA116">
    <cfRule type="cellIs" dxfId="70" priority="68" operator="equal">
      <formula>"Muy Alta"</formula>
    </cfRule>
    <cfRule type="cellIs" dxfId="69" priority="69" operator="equal">
      <formula>"Alta"</formula>
    </cfRule>
    <cfRule type="cellIs" dxfId="68" priority="70" operator="equal">
      <formula>"Media"</formula>
    </cfRule>
    <cfRule type="cellIs" dxfId="67" priority="71" operator="equal">
      <formula>"Baja"</formula>
    </cfRule>
    <cfRule type="cellIs" dxfId="66" priority="72" operator="equal">
      <formula>"Muy Baja"</formula>
    </cfRule>
  </conditionalFormatting>
  <conditionalFormatting sqref="AC111:AC116">
    <cfRule type="cellIs" dxfId="65" priority="63" operator="equal">
      <formula>"Catastrófico"</formula>
    </cfRule>
    <cfRule type="cellIs" dxfId="64" priority="64" operator="equal">
      <formula>"Mayor"</formula>
    </cfRule>
    <cfRule type="cellIs" dxfId="63" priority="65" operator="equal">
      <formula>"Moderado"</formula>
    </cfRule>
    <cfRule type="cellIs" dxfId="62" priority="66" operator="equal">
      <formula>"Menor"</formula>
    </cfRule>
    <cfRule type="cellIs" dxfId="61" priority="67" operator="equal">
      <formula>"Leve"</formula>
    </cfRule>
  </conditionalFormatting>
  <conditionalFormatting sqref="AE111:AE116">
    <cfRule type="cellIs" dxfId="60" priority="59" operator="equal">
      <formula>"Extremo"</formula>
    </cfRule>
    <cfRule type="cellIs" dxfId="59" priority="60" operator="equal">
      <formula>"Alto"</formula>
    </cfRule>
    <cfRule type="cellIs" dxfId="58" priority="61" operator="equal">
      <formula>"Moderado"</formula>
    </cfRule>
    <cfRule type="cellIs" dxfId="57" priority="62" operator="equal">
      <formula>"Bajo"</formula>
    </cfRule>
  </conditionalFormatting>
  <conditionalFormatting sqref="P117">
    <cfRule type="cellIs" dxfId="56" priority="50" operator="equal">
      <formula>"Extremo"</formula>
    </cfRule>
    <cfRule type="cellIs" dxfId="55" priority="51" operator="equal">
      <formula>"Alto"</formula>
    </cfRule>
    <cfRule type="cellIs" dxfId="54" priority="52" operator="equal">
      <formula>"Moderado"</formula>
    </cfRule>
    <cfRule type="cellIs" dxfId="53" priority="53" operator="equal">
      <formula>"Bajo"</formula>
    </cfRule>
  </conditionalFormatting>
  <conditionalFormatting sqref="AA117:AA122">
    <cfRule type="cellIs" dxfId="52" priority="45" operator="equal">
      <formula>"Muy Alta"</formula>
    </cfRule>
    <cfRule type="cellIs" dxfId="51" priority="46" operator="equal">
      <formula>"Alta"</formula>
    </cfRule>
    <cfRule type="cellIs" dxfId="50" priority="47" operator="equal">
      <formula>"Media"</formula>
    </cfRule>
    <cfRule type="cellIs" dxfId="49" priority="48" operator="equal">
      <formula>"Baja"</formula>
    </cfRule>
    <cfRule type="cellIs" dxfId="48" priority="49" operator="equal">
      <formula>"Muy Baja"</formula>
    </cfRule>
  </conditionalFormatting>
  <conditionalFormatting sqref="AC117:AC122">
    <cfRule type="cellIs" dxfId="47" priority="40" operator="equal">
      <formula>"Catastrófico"</formula>
    </cfRule>
    <cfRule type="cellIs" dxfId="46" priority="41" operator="equal">
      <formula>"Mayor"</formula>
    </cfRule>
    <cfRule type="cellIs" dxfId="45" priority="42" operator="equal">
      <formula>"Moderado"</formula>
    </cfRule>
    <cfRule type="cellIs" dxfId="44" priority="43" operator="equal">
      <formula>"Menor"</formula>
    </cfRule>
    <cfRule type="cellIs" dxfId="43" priority="44" operator="equal">
      <formula>"Leve"</formula>
    </cfRule>
  </conditionalFormatting>
  <conditionalFormatting sqref="AE117:AE122">
    <cfRule type="cellIs" dxfId="42" priority="36" operator="equal">
      <formula>"Extremo"</formula>
    </cfRule>
    <cfRule type="cellIs" dxfId="41" priority="37" operator="equal">
      <formula>"Alto"</formula>
    </cfRule>
    <cfRule type="cellIs" dxfId="40" priority="38" operator="equal">
      <formula>"Moderado"</formula>
    </cfRule>
    <cfRule type="cellIs" dxfId="39" priority="39" operator="equal">
      <formula>"Bajo"</formula>
    </cfRule>
  </conditionalFormatting>
  <conditionalFormatting sqref="J123">
    <cfRule type="cellIs" dxfId="38" priority="31" operator="equal">
      <formula>"Muy Alta"</formula>
    </cfRule>
    <cfRule type="cellIs" dxfId="37" priority="32" operator="equal">
      <formula>"Alta"</formula>
    </cfRule>
    <cfRule type="cellIs" dxfId="36" priority="33" operator="equal">
      <formula>"Media"</formula>
    </cfRule>
    <cfRule type="cellIs" dxfId="35" priority="34" operator="equal">
      <formula>"Baja"</formula>
    </cfRule>
    <cfRule type="cellIs" dxfId="34" priority="35" operator="equal">
      <formula>"Muy Baja"</formula>
    </cfRule>
  </conditionalFormatting>
  <conditionalFormatting sqref="P123">
    <cfRule type="cellIs" dxfId="33" priority="27" operator="equal">
      <formula>"Extremo"</formula>
    </cfRule>
    <cfRule type="cellIs" dxfId="32" priority="28" operator="equal">
      <formula>"Alto"</formula>
    </cfRule>
    <cfRule type="cellIs" dxfId="31" priority="29" operator="equal">
      <formula>"Moderado"</formula>
    </cfRule>
    <cfRule type="cellIs" dxfId="30" priority="30" operator="equal">
      <formula>"Bajo"</formula>
    </cfRule>
  </conditionalFormatting>
  <conditionalFormatting sqref="AA123:AA128">
    <cfRule type="cellIs" dxfId="29" priority="22" operator="equal">
      <formula>"Muy Alta"</formula>
    </cfRule>
    <cfRule type="cellIs" dxfId="28" priority="23" operator="equal">
      <formula>"Alta"</formula>
    </cfRule>
    <cfRule type="cellIs" dxfId="27" priority="24" operator="equal">
      <formula>"Media"</formula>
    </cfRule>
    <cfRule type="cellIs" dxfId="26" priority="25" operator="equal">
      <formula>"Baja"</formula>
    </cfRule>
    <cfRule type="cellIs" dxfId="25" priority="26" operator="equal">
      <formula>"Muy Baja"</formula>
    </cfRule>
  </conditionalFormatting>
  <conditionalFormatting sqref="AC123:AC128">
    <cfRule type="cellIs" dxfId="24" priority="17" operator="equal">
      <formula>"Catastrófico"</formula>
    </cfRule>
    <cfRule type="cellIs" dxfId="23" priority="18" operator="equal">
      <formula>"Mayor"</formula>
    </cfRule>
    <cfRule type="cellIs" dxfId="22" priority="19" operator="equal">
      <formula>"Moderado"</formula>
    </cfRule>
    <cfRule type="cellIs" dxfId="21" priority="20" operator="equal">
      <formula>"Menor"</formula>
    </cfRule>
    <cfRule type="cellIs" dxfId="20" priority="21" operator="equal">
      <formula>"Leve"</formula>
    </cfRule>
  </conditionalFormatting>
  <conditionalFormatting sqref="AE123:AE128">
    <cfRule type="cellIs" dxfId="19" priority="13" operator="equal">
      <formula>"Extremo"</formula>
    </cfRule>
    <cfRule type="cellIs" dxfId="18" priority="14" operator="equal">
      <formula>"Alto"</formula>
    </cfRule>
    <cfRule type="cellIs" dxfId="17" priority="15" operator="equal">
      <formula>"Moderado"</formula>
    </cfRule>
    <cfRule type="cellIs" dxfId="16" priority="16" operator="equal">
      <formula>"Bajo"</formula>
    </cfRule>
  </conditionalFormatting>
  <conditionalFormatting sqref="M69:M128">
    <cfRule type="containsText" dxfId="15" priority="12" operator="containsText" text="❌">
      <formula>NOT(ISERROR(SEARCH("❌",M69)))</formula>
    </cfRule>
  </conditionalFormatting>
  <conditionalFormatting sqref="J9">
    <cfRule type="cellIs" dxfId="14" priority="7" operator="equal">
      <formula>"Muy Alta"</formula>
    </cfRule>
    <cfRule type="cellIs" dxfId="13" priority="8" operator="equal">
      <formula>"Alta"</formula>
    </cfRule>
    <cfRule type="cellIs" dxfId="12" priority="9" operator="equal">
      <formula>"Media"</formula>
    </cfRule>
    <cfRule type="cellIs" dxfId="11" priority="10" operator="equal">
      <formula>"Baja"</formula>
    </cfRule>
    <cfRule type="cellIs" dxfId="10" priority="11" operator="equal">
      <formula>"Muy Baja"</formula>
    </cfRule>
  </conditionalFormatting>
  <conditionalFormatting sqref="N9">
    <cfRule type="cellIs" dxfId="9" priority="2" operator="equal">
      <formula>"Catastrófico"</formula>
    </cfRule>
    <cfRule type="cellIs" dxfId="8" priority="3" operator="equal">
      <formula>"Mayor"</formula>
    </cfRule>
    <cfRule type="cellIs" dxfId="7" priority="4" operator="equal">
      <formula>"Moderado"</formula>
    </cfRule>
    <cfRule type="cellIs" dxfId="6" priority="5" operator="equal">
      <formula>"Menor"</formula>
    </cfRule>
    <cfRule type="cellIs" dxfId="5" priority="6" operator="equal">
      <formula>"Leve"</formula>
    </cfRule>
  </conditionalFormatting>
  <conditionalFormatting sqref="M9:M14">
    <cfRule type="containsText" dxfId="4" priority="1" operator="containsText" text="❌">
      <formula>NOT(ISERROR(SEARCH("❌",M9)))</formula>
    </cfRule>
  </conditionalFormatting>
  <dataValidations count="8">
    <dataValidation type="list" allowBlank="1" showInputMessage="1" showErrorMessage="1" sqref="L130">
      <formula1>"Insignificante, Menor, Moderado, Mayor, Crítico"</formula1>
    </dataValidation>
    <dataValidation type="list" allowBlank="1" showInputMessage="1" showErrorMessage="1" sqref="S130">
      <formula1>"Preventivo, Detectivo, Correctivo"</formula1>
    </dataValidation>
    <dataValidation type="list" allowBlank="1" showInputMessage="1" showErrorMessage="1" sqref="T130">
      <formula1>"Autómatico, Manual"</formula1>
    </dataValidation>
    <dataValidation type="list" allowBlank="1" showInputMessage="1" showErrorMessage="1" sqref="V130">
      <formula1>"Documentado, Sin documentar"</formula1>
    </dataValidation>
    <dataValidation type="list" allowBlank="1" showInputMessage="1" showErrorMessage="1" sqref="W130">
      <formula1>"Continua, Aleatoria "</formula1>
    </dataValidation>
    <dataValidation type="list" allowBlank="1" showInputMessage="1" showErrorMessage="1" sqref="X130">
      <formula1>"Con resgistro, Sin registro"</formula1>
    </dataValidation>
    <dataValidation type="list" allowBlank="1" showInputMessage="1" showErrorMessage="1" sqref="G9:G1048576 G6">
      <formula1>"Estratégicos, Imagen, Operativos, Financieros,Cumplimiento,Tecnológicos, Fraude, Corrupción, Imparcialidad, Confidencialidad, Seguridad de la información "</formula1>
    </dataValidation>
    <dataValidation type="list" allowBlank="1" showInputMessage="1" showErrorMessage="1" sqref="H6 H33:H1048576 H9:H27">
      <formula1>"Positivo (Oportunidad) , Negativo (Amenaza)"</formula1>
    </dataValidation>
  </dataValidations>
  <pageMargins left="0.7" right="0.7" top="0.75" bottom="0.75" header="0.3" footer="0.3"/>
  <pageSetup orientation="portrait" r:id="rId1"/>
  <ignoredErrors>
    <ignoredError sqref="AD11" 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14:formula1>
            <xm:f>'Tabla Valoración controles'!$D$4:$D$6</xm:f>
          </x14:formula1>
          <xm:sqref>T9:T128</xm:sqref>
        </x14:dataValidation>
        <x14:dataValidation type="list" allowBlank="1" showInputMessage="1" showErrorMessage="1">
          <x14:formula1>
            <xm:f>'Tabla Valoración controles'!$D$7:$D$8</xm:f>
          </x14:formula1>
          <xm:sqref>U9:U128</xm:sqref>
        </x14:dataValidation>
        <x14:dataValidation type="list" allowBlank="1" showInputMessage="1" showErrorMessage="1">
          <x14:formula1>
            <xm:f>'Tabla Valoración controles'!$D$9:$D$10</xm:f>
          </x14:formula1>
          <xm:sqref>W9:W128</xm:sqref>
        </x14:dataValidation>
        <x14:dataValidation type="list" allowBlank="1" showInputMessage="1" showErrorMessage="1">
          <x14:formula1>
            <xm:f>'Tabla Valoración controles'!$D$11:$D$12</xm:f>
          </x14:formula1>
          <xm:sqref>X9:X128</xm:sqref>
        </x14:dataValidation>
        <x14:dataValidation type="list" allowBlank="1" showInputMessage="1" showErrorMessage="1">
          <x14:formula1>
            <xm:f>'Opciones Tratamiento'!$B$9:$B$10</xm:f>
          </x14:formula1>
          <xm:sqref>AL9:AL10 AL12:AL13 AL15:AL16 AL18:AL19 AL21:AL22 AL24:AL25 AL27:AL28 AL30:AL31 AL33:AL34 AL36:AL37 AL39:AL40 AL42:AL43 AL45:AL46 AL48:AL49 AL51:AL52 AL54:AL55 AL57:AL58 AL60:AL61 AL63:AL64 AL66:AL67 AL69:AL70 AL72:AL73 AL75:AL76 AL78:AL79 AL81:AL82 AL84:AL85 AL87:AL88 AL90:AL91 AL93:AL94 AL96:AL97 AL99:AL100 AL102:AL103 AL105:AL106 AL108:AL109 AL111:AL112 AL114:AL115 AL117:AL118 AL120:AL121 AL123:AL124 AL126:AL127</xm:sqref>
        </x14:dataValidation>
        <x14:dataValidation type="list" allowBlank="1" showInputMessage="1" showErrorMessage="1">
          <x14:formula1>
            <xm:f>'Tabla Valoración controles'!$D$13:$D$14</xm:f>
          </x14:formula1>
          <xm:sqref>Y9:Y128</xm:sqref>
        </x14:dataValidation>
        <x14:dataValidation type="list" allowBlank="1" showInputMessage="1" showErrorMessage="1">
          <x14:formula1>
            <xm:f>'Opciones Tratamiento'!$B$2:$B$5</xm:f>
          </x14:formula1>
          <xm:sqref>AF9:AF128</xm:sqref>
        </x14:dataValidation>
        <x14:dataValidation type="list" allowBlank="1" showInputMessage="1" showErrorMessage="1">
          <x14:formula1>
            <xm:f>'Tabla Impacto'!$F$210:$F$221</xm:f>
          </x14:formula1>
          <xm:sqref>L9:L128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AG9:AG128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AH9:AH128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AI9:AI128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AJ9:AJ128</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AK9:AK128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U140"/>
  <sheetViews>
    <sheetView topLeftCell="A4" zoomScale="50" zoomScaleNormal="50" workbookViewId="0">
      <selection activeCell="P32" sqref="P32:U37"/>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326" t="s">
        <v>154</v>
      </c>
      <c r="C2" s="326"/>
      <c r="D2" s="326"/>
      <c r="E2" s="326"/>
      <c r="F2" s="326"/>
      <c r="G2" s="326"/>
      <c r="H2" s="326"/>
      <c r="I2" s="326"/>
      <c r="J2" s="293" t="s">
        <v>2</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326"/>
      <c r="C3" s="326"/>
      <c r="D3" s="326"/>
      <c r="E3" s="326"/>
      <c r="F3" s="326"/>
      <c r="G3" s="326"/>
      <c r="H3" s="326"/>
      <c r="I3" s="326"/>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326"/>
      <c r="C4" s="326"/>
      <c r="D4" s="326"/>
      <c r="E4" s="326"/>
      <c r="F4" s="326"/>
      <c r="G4" s="326"/>
      <c r="H4" s="326"/>
      <c r="I4" s="326"/>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39" t="s">
        <v>3</v>
      </c>
      <c r="C6" s="239"/>
      <c r="D6" s="240"/>
      <c r="E6" s="277" t="s">
        <v>112</v>
      </c>
      <c r="F6" s="278"/>
      <c r="G6" s="278"/>
      <c r="H6" s="278"/>
      <c r="I6" s="279"/>
      <c r="J6" s="289" t="str">
        <f>IF(AND('Mapa final'!$J$9="Muy Alta",'Mapa final'!$N$9="Leve"),CONCATENATE("R",'Mapa final'!$A$9),"")</f>
        <v/>
      </c>
      <c r="K6" s="290"/>
      <c r="L6" s="290" t="str">
        <f>IF(AND('Mapa final'!$J$15="Muy Alta",'Mapa final'!$N$15="Leve"),CONCATENATE("R",'Mapa final'!$A$15),"")</f>
        <v/>
      </c>
      <c r="M6" s="290"/>
      <c r="N6" s="290" t="str">
        <f>IF(AND('Mapa final'!$J$21="Muy Alta",'Mapa final'!$N$21="Leve"),CONCATENATE("R",'Mapa final'!$A$21),"")</f>
        <v/>
      </c>
      <c r="O6" s="292"/>
      <c r="P6" s="289" t="str">
        <f>IF(AND('Mapa final'!$J$9="Muy Alta",'Mapa final'!$N$9="Menor"),CONCATENATE("R",'Mapa final'!$A$9),"")</f>
        <v/>
      </c>
      <c r="Q6" s="290"/>
      <c r="R6" s="290" t="str">
        <f>IF(AND('Mapa final'!$J$15="Muy Alta",'Mapa final'!$N$15="Menor"),CONCATENATE("R",'Mapa final'!$A$15),"")</f>
        <v/>
      </c>
      <c r="S6" s="290"/>
      <c r="T6" s="290" t="str">
        <f>IF(AND('Mapa final'!$J$21="Muy Alta",'Mapa final'!$N$21="Menor"),CONCATENATE("R",'Mapa final'!$A$21),"")</f>
        <v/>
      </c>
      <c r="U6" s="292"/>
      <c r="V6" s="289" t="str">
        <f>IF(AND('Mapa final'!$J$9="Muy Alta",'Mapa final'!$N$9="Moderado"),CONCATENATE("R",'Mapa final'!$A$9),"")</f>
        <v/>
      </c>
      <c r="W6" s="290"/>
      <c r="X6" s="290" t="str">
        <f>IF(AND('Mapa final'!$J$15="Muy Alta",'Mapa final'!$N$15="Moderado"),CONCATENATE("R",'Mapa final'!$A$15),"")</f>
        <v/>
      </c>
      <c r="Y6" s="290"/>
      <c r="Z6" s="290" t="str">
        <f>IF(AND('Mapa final'!$J$21="Muy Alta",'Mapa final'!$N$21="Moderado"),CONCATENATE("R",'Mapa final'!$A$21),"")</f>
        <v/>
      </c>
      <c r="AA6" s="292"/>
      <c r="AB6" s="289" t="str">
        <f>IF(AND('Mapa final'!$J$9="Muy Alta",'Mapa final'!$N$9="Mayor"),CONCATENATE("R",'Mapa final'!$A$9),"")</f>
        <v/>
      </c>
      <c r="AC6" s="290"/>
      <c r="AD6" s="290" t="str">
        <f>IF(AND('Mapa final'!$J$15="Muy Alta",'Mapa final'!$N$15="Mayor"),CONCATENATE("R",'Mapa final'!$A$15),"")</f>
        <v/>
      </c>
      <c r="AE6" s="290"/>
      <c r="AF6" s="290" t="str">
        <f>IF(AND('Mapa final'!$J$21="Muy Alta",'Mapa final'!$N$21="Mayor"),CONCATENATE("R",'Mapa final'!$A$21),"")</f>
        <v/>
      </c>
      <c r="AG6" s="292"/>
      <c r="AH6" s="305" t="str">
        <f>IF(AND('Mapa final'!$J$9="Muy Alta",'Mapa final'!$N$9="Catastrófico"),CONCATENATE("R",'Mapa final'!$A$9),"")</f>
        <v/>
      </c>
      <c r="AI6" s="306"/>
      <c r="AJ6" s="306" t="str">
        <f>IF(AND('Mapa final'!$J$15="Muy Alta",'Mapa final'!$N$15="Catastrófico"),CONCATENATE("R",'Mapa final'!$A$15),"")</f>
        <v/>
      </c>
      <c r="AK6" s="306"/>
      <c r="AL6" s="306" t="str">
        <f>IF(AND('Mapa final'!$J$21="Muy Alta",'Mapa final'!$N$21="Catastrófico"),CONCATENATE("R",'Mapa final'!$A$21),"")</f>
        <v/>
      </c>
      <c r="AM6" s="307"/>
      <c r="AO6" s="241" t="s">
        <v>75</v>
      </c>
      <c r="AP6" s="242"/>
      <c r="AQ6" s="242"/>
      <c r="AR6" s="242"/>
      <c r="AS6" s="242"/>
      <c r="AT6" s="243"/>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39"/>
      <c r="C7" s="239"/>
      <c r="D7" s="240"/>
      <c r="E7" s="280"/>
      <c r="F7" s="281"/>
      <c r="G7" s="281"/>
      <c r="H7" s="281"/>
      <c r="I7" s="282"/>
      <c r="J7" s="291"/>
      <c r="K7" s="288"/>
      <c r="L7" s="288"/>
      <c r="M7" s="288"/>
      <c r="N7" s="288"/>
      <c r="O7" s="287"/>
      <c r="P7" s="291"/>
      <c r="Q7" s="288"/>
      <c r="R7" s="288"/>
      <c r="S7" s="288"/>
      <c r="T7" s="288"/>
      <c r="U7" s="287"/>
      <c r="V7" s="291"/>
      <c r="W7" s="288"/>
      <c r="X7" s="288"/>
      <c r="Y7" s="288"/>
      <c r="Z7" s="288"/>
      <c r="AA7" s="287"/>
      <c r="AB7" s="291"/>
      <c r="AC7" s="288"/>
      <c r="AD7" s="288"/>
      <c r="AE7" s="288"/>
      <c r="AF7" s="288"/>
      <c r="AG7" s="287"/>
      <c r="AH7" s="299"/>
      <c r="AI7" s="300"/>
      <c r="AJ7" s="300"/>
      <c r="AK7" s="300"/>
      <c r="AL7" s="300"/>
      <c r="AM7" s="301"/>
      <c r="AN7" s="70"/>
      <c r="AO7" s="244"/>
      <c r="AP7" s="245"/>
      <c r="AQ7" s="245"/>
      <c r="AR7" s="245"/>
      <c r="AS7" s="245"/>
      <c r="AT7" s="246"/>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39"/>
      <c r="C8" s="239"/>
      <c r="D8" s="240"/>
      <c r="E8" s="280"/>
      <c r="F8" s="281"/>
      <c r="G8" s="281"/>
      <c r="H8" s="281"/>
      <c r="I8" s="282"/>
      <c r="J8" s="291" t="str">
        <f>IF(AND('Mapa final'!$J$27="Muy Alta",'Mapa final'!$N$27="Leve"),CONCATENATE("R",'Mapa final'!$A$27),"")</f>
        <v/>
      </c>
      <c r="K8" s="288"/>
      <c r="L8" s="286" t="str">
        <f>IF(AND('Mapa final'!$J$33="Muy Alta",'Mapa final'!$N$33="Leve"),CONCATENATE("R",'Mapa final'!$A$33),"")</f>
        <v/>
      </c>
      <c r="M8" s="286"/>
      <c r="N8" s="286" t="str">
        <f>IF(AND('Mapa final'!$J$39="Muy Alta",'Mapa final'!$N$39="Leve"),CONCATENATE("R",'Mapa final'!$A$39),"")</f>
        <v/>
      </c>
      <c r="O8" s="287"/>
      <c r="P8" s="291" t="str">
        <f>IF(AND('Mapa final'!$J$27="Muy Alta",'Mapa final'!$N$27="Menor"),CONCATENATE("R",'Mapa final'!$A$27),"")</f>
        <v/>
      </c>
      <c r="Q8" s="288"/>
      <c r="R8" s="286" t="str">
        <f>IF(AND('Mapa final'!$J$33="Muy Alta",'Mapa final'!$N$33="Menor"),CONCATENATE("R",'Mapa final'!$A$33),"")</f>
        <v/>
      </c>
      <c r="S8" s="286"/>
      <c r="T8" s="286" t="str">
        <f>IF(AND('Mapa final'!$J$39="Muy Alta",'Mapa final'!$N$39="Menor"),CONCATENATE("R",'Mapa final'!$A$39),"")</f>
        <v/>
      </c>
      <c r="U8" s="287"/>
      <c r="V8" s="291" t="str">
        <f>IF(AND('Mapa final'!$J$27="Muy Alta",'Mapa final'!$N$27="Moderado"),CONCATENATE("R",'Mapa final'!$A$27),"")</f>
        <v/>
      </c>
      <c r="W8" s="288"/>
      <c r="X8" s="286" t="str">
        <f>IF(AND('Mapa final'!$J$33="Muy Alta",'Mapa final'!$N$33="Moderado"),CONCATENATE("R",'Mapa final'!$A$33),"")</f>
        <v/>
      </c>
      <c r="Y8" s="286"/>
      <c r="Z8" s="286" t="str">
        <f>IF(AND('Mapa final'!$J$39="Muy Alta",'Mapa final'!$N$39="Moderado"),CONCATENATE("R",'Mapa final'!$A$39),"")</f>
        <v/>
      </c>
      <c r="AA8" s="287"/>
      <c r="AB8" s="291" t="str">
        <f>IF(AND('Mapa final'!$J$27="Muy Alta",'Mapa final'!$N$27="Mayor"),CONCATENATE("R",'Mapa final'!$A$27),"")</f>
        <v/>
      </c>
      <c r="AC8" s="288"/>
      <c r="AD8" s="286" t="str">
        <f>IF(AND('Mapa final'!$J$33="Muy Alta",'Mapa final'!$N$33="Mayor"),CONCATENATE("R",'Mapa final'!$A$33),"")</f>
        <v/>
      </c>
      <c r="AE8" s="286"/>
      <c r="AF8" s="286" t="str">
        <f>IF(AND('Mapa final'!$J$39="Muy Alta",'Mapa final'!$N$39="Mayor"),CONCATENATE("R",'Mapa final'!$A$39),"")</f>
        <v/>
      </c>
      <c r="AG8" s="287"/>
      <c r="AH8" s="299" t="str">
        <f>IF(AND('Mapa final'!$J$27="Muy Alta",'Mapa final'!$N$27="Catastrófico"),CONCATENATE("R",'Mapa final'!$A$27),"")</f>
        <v/>
      </c>
      <c r="AI8" s="300"/>
      <c r="AJ8" s="300" t="str">
        <f>IF(AND('Mapa final'!$J$33="Muy Alta",'Mapa final'!$N$33="Catastrófico"),CONCATENATE("R",'Mapa final'!$A$33),"")</f>
        <v/>
      </c>
      <c r="AK8" s="300"/>
      <c r="AL8" s="300" t="str">
        <f>IF(AND('Mapa final'!$J$39="Muy Alta",'Mapa final'!$N$39="Catastrófico"),CONCATENATE("R",'Mapa final'!$A$39),"")</f>
        <v/>
      </c>
      <c r="AM8" s="301"/>
      <c r="AN8" s="70"/>
      <c r="AO8" s="244"/>
      <c r="AP8" s="245"/>
      <c r="AQ8" s="245"/>
      <c r="AR8" s="245"/>
      <c r="AS8" s="245"/>
      <c r="AT8" s="246"/>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39"/>
      <c r="C9" s="239"/>
      <c r="D9" s="240"/>
      <c r="E9" s="280"/>
      <c r="F9" s="281"/>
      <c r="G9" s="281"/>
      <c r="H9" s="281"/>
      <c r="I9" s="282"/>
      <c r="J9" s="291"/>
      <c r="K9" s="288"/>
      <c r="L9" s="286"/>
      <c r="M9" s="286"/>
      <c r="N9" s="286"/>
      <c r="O9" s="287"/>
      <c r="P9" s="291"/>
      <c r="Q9" s="288"/>
      <c r="R9" s="286"/>
      <c r="S9" s="286"/>
      <c r="T9" s="286"/>
      <c r="U9" s="287"/>
      <c r="V9" s="291"/>
      <c r="W9" s="288"/>
      <c r="X9" s="286"/>
      <c r="Y9" s="286"/>
      <c r="Z9" s="286"/>
      <c r="AA9" s="287"/>
      <c r="AB9" s="291"/>
      <c r="AC9" s="288"/>
      <c r="AD9" s="286"/>
      <c r="AE9" s="286"/>
      <c r="AF9" s="286"/>
      <c r="AG9" s="287"/>
      <c r="AH9" s="299"/>
      <c r="AI9" s="300"/>
      <c r="AJ9" s="300"/>
      <c r="AK9" s="300"/>
      <c r="AL9" s="300"/>
      <c r="AM9" s="301"/>
      <c r="AN9" s="70"/>
      <c r="AO9" s="244"/>
      <c r="AP9" s="245"/>
      <c r="AQ9" s="245"/>
      <c r="AR9" s="245"/>
      <c r="AS9" s="245"/>
      <c r="AT9" s="246"/>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39"/>
      <c r="C10" s="239"/>
      <c r="D10" s="240"/>
      <c r="E10" s="280"/>
      <c r="F10" s="281"/>
      <c r="G10" s="281"/>
      <c r="H10" s="281"/>
      <c r="I10" s="282"/>
      <c r="J10" s="291" t="str">
        <f>IF(AND('Mapa final'!$J$45="Muy Alta",'Mapa final'!$N$45="Leve"),CONCATENATE("R",'Mapa final'!$A$45),"")</f>
        <v/>
      </c>
      <c r="K10" s="288"/>
      <c r="L10" s="286" t="str">
        <f>IF(AND('Mapa final'!$J$51="Muy Alta",'Mapa final'!$N$51="Leve"),CONCATENATE("R",'Mapa final'!$A$51),"")</f>
        <v/>
      </c>
      <c r="M10" s="286"/>
      <c r="N10" s="286" t="str">
        <f>IF(AND('Mapa final'!$J$57="Muy Alta",'Mapa final'!$N$57="Leve"),CONCATENATE("R",'Mapa final'!$A$57),"")</f>
        <v/>
      </c>
      <c r="O10" s="287"/>
      <c r="P10" s="291" t="str">
        <f>IF(AND('Mapa final'!$J$45="Muy Alta",'Mapa final'!$N$45="Menor"),CONCATENATE("R",'Mapa final'!$A$45),"")</f>
        <v/>
      </c>
      <c r="Q10" s="288"/>
      <c r="R10" s="286" t="str">
        <f>IF(AND('Mapa final'!$J$51="Muy Alta",'Mapa final'!$N$51="Menor"),CONCATENATE("R",'Mapa final'!$A$51),"")</f>
        <v/>
      </c>
      <c r="S10" s="286"/>
      <c r="T10" s="286" t="str">
        <f>IF(AND('Mapa final'!$J$57="Muy Alta",'Mapa final'!$N$57="Menor"),CONCATENATE("R",'Mapa final'!$A$57),"")</f>
        <v/>
      </c>
      <c r="U10" s="287"/>
      <c r="V10" s="291" t="str">
        <f>IF(AND('Mapa final'!$J$45="Muy Alta",'Mapa final'!$N$45="Moderado"),CONCATENATE("R",'Mapa final'!$A$45),"")</f>
        <v/>
      </c>
      <c r="W10" s="288"/>
      <c r="X10" s="286" t="str">
        <f>IF(AND('Mapa final'!$J$51="Muy Alta",'Mapa final'!$N$51="Moderado"),CONCATENATE("R",'Mapa final'!$A$51),"")</f>
        <v/>
      </c>
      <c r="Y10" s="286"/>
      <c r="Z10" s="286" t="str">
        <f>IF(AND('Mapa final'!$J$57="Muy Alta",'Mapa final'!$N$57="Moderado"),CONCATENATE("R",'Mapa final'!$A$57),"")</f>
        <v/>
      </c>
      <c r="AA10" s="287"/>
      <c r="AB10" s="291" t="str">
        <f>IF(AND('Mapa final'!$J$45="Muy Alta",'Mapa final'!$N$45="Mayor"),CONCATENATE("R",'Mapa final'!$A$45),"")</f>
        <v/>
      </c>
      <c r="AC10" s="288"/>
      <c r="AD10" s="286" t="str">
        <f>IF(AND('Mapa final'!$J$51="Muy Alta",'Mapa final'!$N$51="Mayor"),CONCATENATE("R",'Mapa final'!$A$51),"")</f>
        <v/>
      </c>
      <c r="AE10" s="286"/>
      <c r="AF10" s="286" t="str">
        <f>IF(AND('Mapa final'!$J$57="Muy Alta",'Mapa final'!$N$57="Mayor"),CONCATENATE("R",'Mapa final'!$A$57),"")</f>
        <v/>
      </c>
      <c r="AG10" s="287"/>
      <c r="AH10" s="299" t="str">
        <f>IF(AND('Mapa final'!$J$45="Muy Alta",'Mapa final'!$N$45="Catastrófico"),CONCATENATE("R",'Mapa final'!$A$45),"")</f>
        <v/>
      </c>
      <c r="AI10" s="300"/>
      <c r="AJ10" s="300" t="str">
        <f>IF(AND('Mapa final'!$J$51="Muy Alta",'Mapa final'!$N$51="Catastrófico"),CONCATENATE("R",'Mapa final'!$A$51),"")</f>
        <v/>
      </c>
      <c r="AK10" s="300"/>
      <c r="AL10" s="300" t="str">
        <f>IF(AND('Mapa final'!$J$57="Muy Alta",'Mapa final'!$N$57="Catastrófico"),CONCATENATE("R",'Mapa final'!$A$57),"")</f>
        <v/>
      </c>
      <c r="AM10" s="301"/>
      <c r="AN10" s="70"/>
      <c r="AO10" s="244"/>
      <c r="AP10" s="245"/>
      <c r="AQ10" s="245"/>
      <c r="AR10" s="245"/>
      <c r="AS10" s="245"/>
      <c r="AT10" s="246"/>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39"/>
      <c r="C11" s="239"/>
      <c r="D11" s="240"/>
      <c r="E11" s="280"/>
      <c r="F11" s="281"/>
      <c r="G11" s="281"/>
      <c r="H11" s="281"/>
      <c r="I11" s="282"/>
      <c r="J11" s="291"/>
      <c r="K11" s="288"/>
      <c r="L11" s="286"/>
      <c r="M11" s="286"/>
      <c r="N11" s="286"/>
      <c r="O11" s="287"/>
      <c r="P11" s="291"/>
      <c r="Q11" s="288"/>
      <c r="R11" s="286"/>
      <c r="S11" s="286"/>
      <c r="T11" s="286"/>
      <c r="U11" s="287"/>
      <c r="V11" s="291"/>
      <c r="W11" s="288"/>
      <c r="X11" s="286"/>
      <c r="Y11" s="286"/>
      <c r="Z11" s="286"/>
      <c r="AA11" s="287"/>
      <c r="AB11" s="291"/>
      <c r="AC11" s="288"/>
      <c r="AD11" s="286"/>
      <c r="AE11" s="286"/>
      <c r="AF11" s="286"/>
      <c r="AG11" s="287"/>
      <c r="AH11" s="299"/>
      <c r="AI11" s="300"/>
      <c r="AJ11" s="300"/>
      <c r="AK11" s="300"/>
      <c r="AL11" s="300"/>
      <c r="AM11" s="301"/>
      <c r="AN11" s="70"/>
      <c r="AO11" s="244"/>
      <c r="AP11" s="245"/>
      <c r="AQ11" s="245"/>
      <c r="AR11" s="245"/>
      <c r="AS11" s="245"/>
      <c r="AT11" s="246"/>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39"/>
      <c r="C12" s="239"/>
      <c r="D12" s="240"/>
      <c r="E12" s="280"/>
      <c r="F12" s="281"/>
      <c r="G12" s="281"/>
      <c r="H12" s="281"/>
      <c r="I12" s="282"/>
      <c r="J12" s="291" t="str">
        <f>IF(AND('Mapa final'!$J$63="Muy Alta",'Mapa final'!$N$63="Leve"),CONCATENATE("R",'Mapa final'!$A$63),"")</f>
        <v/>
      </c>
      <c r="K12" s="288"/>
      <c r="L12" s="286" t="str">
        <f>IF(AND('Mapa final'!$J$70="Muy Alta",'Mapa final'!$N$70="Leve"),CONCATENATE("R",'Mapa final'!$A$70),"")</f>
        <v/>
      </c>
      <c r="M12" s="286"/>
      <c r="N12" s="286" t="str">
        <f>IF(AND('Mapa final'!$J$76="Muy Alta",'Mapa final'!$N$76="Leve"),CONCATENATE("R",'Mapa final'!$A$76),"")</f>
        <v/>
      </c>
      <c r="O12" s="287"/>
      <c r="P12" s="291" t="str">
        <f>IF(AND('Mapa final'!$J$63="Muy Alta",'Mapa final'!$N$63="Menor"),CONCATENATE("R",'Mapa final'!$A$63),"")</f>
        <v/>
      </c>
      <c r="Q12" s="288"/>
      <c r="R12" s="286" t="str">
        <f>IF(AND('Mapa final'!$J$70="Muy Alta",'Mapa final'!$N$70="Menor"),CONCATENATE("R",'Mapa final'!$A$70),"")</f>
        <v/>
      </c>
      <c r="S12" s="286"/>
      <c r="T12" s="286" t="str">
        <f>IF(AND('Mapa final'!$J$76="Muy Alta",'Mapa final'!$N$76="Menor"),CONCATENATE("R",'Mapa final'!$A$76),"")</f>
        <v/>
      </c>
      <c r="U12" s="287"/>
      <c r="V12" s="291" t="str">
        <f>IF(AND('Mapa final'!$J$63="Muy Alta",'Mapa final'!$N$63="Moderado"),CONCATENATE("R",'Mapa final'!$A$63),"")</f>
        <v/>
      </c>
      <c r="W12" s="288"/>
      <c r="X12" s="286" t="str">
        <f>IF(AND('Mapa final'!$J$70="Muy Alta",'Mapa final'!$N$70="Moderado"),CONCATENATE("R",'Mapa final'!$A$70),"")</f>
        <v/>
      </c>
      <c r="Y12" s="286"/>
      <c r="Z12" s="286" t="str">
        <f>IF(AND('Mapa final'!$J$76="Muy Alta",'Mapa final'!$N$76="Moderado"),CONCATENATE("R",'Mapa final'!$A$76),"")</f>
        <v/>
      </c>
      <c r="AA12" s="287"/>
      <c r="AB12" s="291" t="str">
        <f>IF(AND('Mapa final'!$J$63="Muy Alta",'Mapa final'!$N$63="Mayor"),CONCATENATE("R",'Mapa final'!$A$63),"")</f>
        <v/>
      </c>
      <c r="AC12" s="288"/>
      <c r="AD12" s="286" t="str">
        <f>IF(AND('Mapa final'!$J$70="Muy Alta",'Mapa final'!$N$70="Mayor"),CONCATENATE("R",'Mapa final'!$A$70),"")</f>
        <v/>
      </c>
      <c r="AE12" s="286"/>
      <c r="AF12" s="286" t="str">
        <f>IF(AND('Mapa final'!$J$76="Muy Alta",'Mapa final'!$N$76="Mayor"),CONCATENATE("R",'Mapa final'!$A$76),"")</f>
        <v/>
      </c>
      <c r="AG12" s="287"/>
      <c r="AH12" s="299" t="str">
        <f>IF(AND('Mapa final'!$J$63="Muy Alta",'Mapa final'!$N$63="Catastrófico"),CONCATENATE("R",'Mapa final'!$A$63),"")</f>
        <v/>
      </c>
      <c r="AI12" s="300"/>
      <c r="AJ12" s="300" t="str">
        <f>IF(AND('Mapa final'!$J$70="Muy Alta",'Mapa final'!$N$70="Catastrófico"),CONCATENATE("R",'Mapa final'!$A$70),"")</f>
        <v/>
      </c>
      <c r="AK12" s="300"/>
      <c r="AL12" s="300" t="str">
        <f>IF(AND('Mapa final'!$J$76="Muy Alta",'Mapa final'!$N$76="Catastrófico"),CONCATENATE("R",'Mapa final'!$A$76),"")</f>
        <v/>
      </c>
      <c r="AM12" s="301"/>
      <c r="AN12" s="70"/>
      <c r="AO12" s="244"/>
      <c r="AP12" s="245"/>
      <c r="AQ12" s="245"/>
      <c r="AR12" s="245"/>
      <c r="AS12" s="245"/>
      <c r="AT12" s="246"/>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39"/>
      <c r="C13" s="239"/>
      <c r="D13" s="240"/>
      <c r="E13" s="283"/>
      <c r="F13" s="284"/>
      <c r="G13" s="284"/>
      <c r="H13" s="284"/>
      <c r="I13" s="285"/>
      <c r="J13" s="291"/>
      <c r="K13" s="288"/>
      <c r="L13" s="288"/>
      <c r="M13" s="288"/>
      <c r="N13" s="288"/>
      <c r="O13" s="287"/>
      <c r="P13" s="291"/>
      <c r="Q13" s="288"/>
      <c r="R13" s="288"/>
      <c r="S13" s="288"/>
      <c r="T13" s="288"/>
      <c r="U13" s="287"/>
      <c r="V13" s="291"/>
      <c r="W13" s="288"/>
      <c r="X13" s="288"/>
      <c r="Y13" s="288"/>
      <c r="Z13" s="288"/>
      <c r="AA13" s="287"/>
      <c r="AB13" s="291"/>
      <c r="AC13" s="288"/>
      <c r="AD13" s="288"/>
      <c r="AE13" s="288"/>
      <c r="AF13" s="288"/>
      <c r="AG13" s="287"/>
      <c r="AH13" s="302"/>
      <c r="AI13" s="303"/>
      <c r="AJ13" s="303"/>
      <c r="AK13" s="303"/>
      <c r="AL13" s="303"/>
      <c r="AM13" s="304"/>
      <c r="AN13" s="70"/>
      <c r="AO13" s="247"/>
      <c r="AP13" s="248"/>
      <c r="AQ13" s="248"/>
      <c r="AR13" s="248"/>
      <c r="AS13" s="248"/>
      <c r="AT13" s="249"/>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39"/>
      <c r="C14" s="239"/>
      <c r="D14" s="240"/>
      <c r="E14" s="277" t="s">
        <v>111</v>
      </c>
      <c r="F14" s="278"/>
      <c r="G14" s="278"/>
      <c r="H14" s="278"/>
      <c r="I14" s="278"/>
      <c r="J14" s="314" t="str">
        <f>IF(AND('Mapa final'!$J$9="Alta",'Mapa final'!$N$9="Leve"),CONCATENATE("R",'Mapa final'!$A$9),"")</f>
        <v/>
      </c>
      <c r="K14" s="315"/>
      <c r="L14" s="315" t="str">
        <f>IF(AND('Mapa final'!$J$15="Alta",'Mapa final'!$N$15="Leve"),CONCATENATE("R",'Mapa final'!$A$15),"")</f>
        <v/>
      </c>
      <c r="M14" s="315"/>
      <c r="N14" s="315" t="str">
        <f>IF(AND('Mapa final'!$J$21="Alta",'Mapa final'!$N$21="Leve"),CONCATENATE("R",'Mapa final'!$A$21),"")</f>
        <v/>
      </c>
      <c r="O14" s="316"/>
      <c r="P14" s="314" t="str">
        <f>IF(AND('Mapa final'!$J$9="Alta",'Mapa final'!$N$9="Menor"),CONCATENATE("R",'Mapa final'!$A$9),"")</f>
        <v/>
      </c>
      <c r="Q14" s="315"/>
      <c r="R14" s="315" t="str">
        <f>IF(AND('Mapa final'!$J$15="Alta",'Mapa final'!$N$15="Menor"),CONCATENATE("R",'Mapa final'!$A$15),"")</f>
        <v/>
      </c>
      <c r="S14" s="315"/>
      <c r="T14" s="315" t="str">
        <f>IF(AND('Mapa final'!$J$21="Alta",'Mapa final'!$N$21="Menor"),CONCATENATE("R",'Mapa final'!$A$21),"")</f>
        <v/>
      </c>
      <c r="U14" s="316"/>
      <c r="V14" s="289" t="str">
        <f>IF(AND('Mapa final'!$J$9="Alta",'Mapa final'!$N$9="Moderado"),CONCATENATE("R",'Mapa final'!$A$9),"")</f>
        <v/>
      </c>
      <c r="W14" s="290"/>
      <c r="X14" s="290" t="str">
        <f>IF(AND('Mapa final'!$J$15="Alta",'Mapa final'!$N$15="Moderado"),CONCATENATE("R",'Mapa final'!$A$15),"")</f>
        <v/>
      </c>
      <c r="Y14" s="290"/>
      <c r="Z14" s="290" t="str">
        <f>IF(AND('Mapa final'!$J$21="Alta",'Mapa final'!$N$21="Moderado"),CONCATENATE("R",'Mapa final'!$A$21),"")</f>
        <v/>
      </c>
      <c r="AA14" s="292"/>
      <c r="AB14" s="289" t="str">
        <f>IF(AND('Mapa final'!$J$9="Alta",'Mapa final'!$N$9="Mayor"),CONCATENATE("R",'Mapa final'!$A$9),"")</f>
        <v/>
      </c>
      <c r="AC14" s="290"/>
      <c r="AD14" s="290" t="str">
        <f>IF(AND('Mapa final'!$J$15="Alta",'Mapa final'!$N$15="Mayor"),CONCATENATE("R",'Mapa final'!$A$15),"")</f>
        <v/>
      </c>
      <c r="AE14" s="290"/>
      <c r="AF14" s="290" t="str">
        <f>IF(AND('Mapa final'!$J$21="Alta",'Mapa final'!$N$21="Mayor"),CONCATENATE("R",'Mapa final'!$A$21),"")</f>
        <v/>
      </c>
      <c r="AG14" s="292"/>
      <c r="AH14" s="305" t="str">
        <f>IF(AND('Mapa final'!$J$9="Alta",'Mapa final'!$N$9="Catastrófico"),CONCATENATE("R",'Mapa final'!$A$9),"")</f>
        <v/>
      </c>
      <c r="AI14" s="306"/>
      <c r="AJ14" s="306" t="str">
        <f>IF(AND('Mapa final'!$J$15="Alta",'Mapa final'!$N$15="Catastrófico"),CONCATENATE("R",'Mapa final'!$A$15),"")</f>
        <v/>
      </c>
      <c r="AK14" s="306"/>
      <c r="AL14" s="306" t="str">
        <f>IF(AND('Mapa final'!$J$21="Alta",'Mapa final'!$N$21="Catastrófico"),CONCATENATE("R",'Mapa final'!$A$21),"")</f>
        <v/>
      </c>
      <c r="AM14" s="307"/>
      <c r="AN14" s="70"/>
      <c r="AO14" s="250" t="s">
        <v>76</v>
      </c>
      <c r="AP14" s="251"/>
      <c r="AQ14" s="251"/>
      <c r="AR14" s="251"/>
      <c r="AS14" s="251"/>
      <c r="AT14" s="252"/>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39"/>
      <c r="C15" s="239"/>
      <c r="D15" s="240"/>
      <c r="E15" s="280"/>
      <c r="F15" s="281"/>
      <c r="G15" s="281"/>
      <c r="H15" s="281"/>
      <c r="I15" s="294"/>
      <c r="J15" s="308"/>
      <c r="K15" s="309"/>
      <c r="L15" s="309"/>
      <c r="M15" s="309"/>
      <c r="N15" s="309"/>
      <c r="O15" s="310"/>
      <c r="P15" s="308"/>
      <c r="Q15" s="309"/>
      <c r="R15" s="309"/>
      <c r="S15" s="309"/>
      <c r="T15" s="309"/>
      <c r="U15" s="310"/>
      <c r="V15" s="291"/>
      <c r="W15" s="288"/>
      <c r="X15" s="288"/>
      <c r="Y15" s="288"/>
      <c r="Z15" s="288"/>
      <c r="AA15" s="287"/>
      <c r="AB15" s="291"/>
      <c r="AC15" s="288"/>
      <c r="AD15" s="288"/>
      <c r="AE15" s="288"/>
      <c r="AF15" s="288"/>
      <c r="AG15" s="287"/>
      <c r="AH15" s="299"/>
      <c r="AI15" s="300"/>
      <c r="AJ15" s="300"/>
      <c r="AK15" s="300"/>
      <c r="AL15" s="300"/>
      <c r="AM15" s="301"/>
      <c r="AN15" s="70"/>
      <c r="AO15" s="253"/>
      <c r="AP15" s="254"/>
      <c r="AQ15" s="254"/>
      <c r="AR15" s="254"/>
      <c r="AS15" s="254"/>
      <c r="AT15" s="255"/>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39"/>
      <c r="C16" s="239"/>
      <c r="D16" s="240"/>
      <c r="E16" s="280"/>
      <c r="F16" s="281"/>
      <c r="G16" s="281"/>
      <c r="H16" s="281"/>
      <c r="I16" s="294"/>
      <c r="J16" s="308" t="str">
        <f>IF(AND('Mapa final'!$J$27="Alta",'Mapa final'!$N$27="Leve"),CONCATENATE("R",'Mapa final'!$A$27),"")</f>
        <v/>
      </c>
      <c r="K16" s="309"/>
      <c r="L16" s="309" t="str">
        <f>IF(AND('Mapa final'!$J$33="Alta",'Mapa final'!$N$33="Leve"),CONCATENATE("R",'Mapa final'!$A$33),"")</f>
        <v/>
      </c>
      <c r="M16" s="309"/>
      <c r="N16" s="309" t="str">
        <f>IF(AND('Mapa final'!$J$39="Alta",'Mapa final'!$N$39="Leve"),CONCATENATE("R",'Mapa final'!$A$39),"")</f>
        <v/>
      </c>
      <c r="O16" s="310"/>
      <c r="P16" s="308" t="str">
        <f>IF(AND('Mapa final'!$J$27="Alta",'Mapa final'!$N$27="Menor"),CONCATENATE("R",'Mapa final'!$A$27),"")</f>
        <v/>
      </c>
      <c r="Q16" s="309"/>
      <c r="R16" s="309" t="str">
        <f>IF(AND('Mapa final'!$J$33="Alta",'Mapa final'!$N$33="Menor"),CONCATENATE("R",'Mapa final'!$A$33),"")</f>
        <v/>
      </c>
      <c r="S16" s="309"/>
      <c r="T16" s="309" t="str">
        <f>IF(AND('Mapa final'!$J$39="Alta",'Mapa final'!$N$39="Menor"),CONCATENATE("R",'Mapa final'!$A$39),"")</f>
        <v/>
      </c>
      <c r="U16" s="310"/>
      <c r="V16" s="291" t="str">
        <f>IF(AND('Mapa final'!$J$27="Alta",'Mapa final'!$N$27="Moderado"),CONCATENATE("R",'Mapa final'!$A$27),"")</f>
        <v/>
      </c>
      <c r="W16" s="288"/>
      <c r="X16" s="286" t="str">
        <f>IF(AND('Mapa final'!$J$33="Alta",'Mapa final'!$N$33="Moderado"),CONCATENATE("R",'Mapa final'!$A$33),"")</f>
        <v/>
      </c>
      <c r="Y16" s="286"/>
      <c r="Z16" s="286" t="str">
        <f>IF(AND('Mapa final'!$J$39="Alta",'Mapa final'!$N$39="Moderado"),CONCATENATE("R",'Mapa final'!$A$39),"")</f>
        <v/>
      </c>
      <c r="AA16" s="287"/>
      <c r="AB16" s="291" t="str">
        <f>IF(AND('Mapa final'!$J$27="Alta",'Mapa final'!$N$27="Mayor"),CONCATENATE("R",'Mapa final'!$A$27),"")</f>
        <v/>
      </c>
      <c r="AC16" s="288"/>
      <c r="AD16" s="286" t="str">
        <f>IF(AND('Mapa final'!$J$33="Alta",'Mapa final'!$N$33="Mayor"),CONCATENATE("R",'Mapa final'!$A$33),"")</f>
        <v/>
      </c>
      <c r="AE16" s="286"/>
      <c r="AF16" s="286" t="str">
        <f>IF(AND('Mapa final'!$J$39="Alta",'Mapa final'!$N$39="Mayor"),CONCATENATE("R",'Mapa final'!$A$39),"")</f>
        <v/>
      </c>
      <c r="AG16" s="287"/>
      <c r="AH16" s="299" t="str">
        <f>IF(AND('Mapa final'!$J$27="Alta",'Mapa final'!$N$27="Catastrófico"),CONCATENATE("R",'Mapa final'!$A$27),"")</f>
        <v/>
      </c>
      <c r="AI16" s="300"/>
      <c r="AJ16" s="300" t="str">
        <f>IF(AND('Mapa final'!$J$33="Alta",'Mapa final'!$N$33="Catastrófico"),CONCATENATE("R",'Mapa final'!$A$33),"")</f>
        <v/>
      </c>
      <c r="AK16" s="300"/>
      <c r="AL16" s="300" t="str">
        <f>IF(AND('Mapa final'!$J$39="Alta",'Mapa final'!$N$39="Catastrófico"),CONCATENATE("R",'Mapa final'!$A$39),"")</f>
        <v/>
      </c>
      <c r="AM16" s="301"/>
      <c r="AN16" s="70"/>
      <c r="AO16" s="253"/>
      <c r="AP16" s="254"/>
      <c r="AQ16" s="254"/>
      <c r="AR16" s="254"/>
      <c r="AS16" s="254"/>
      <c r="AT16" s="255"/>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39"/>
      <c r="C17" s="239"/>
      <c r="D17" s="240"/>
      <c r="E17" s="280"/>
      <c r="F17" s="281"/>
      <c r="G17" s="281"/>
      <c r="H17" s="281"/>
      <c r="I17" s="294"/>
      <c r="J17" s="308"/>
      <c r="K17" s="309"/>
      <c r="L17" s="309"/>
      <c r="M17" s="309"/>
      <c r="N17" s="309"/>
      <c r="O17" s="310"/>
      <c r="P17" s="308"/>
      <c r="Q17" s="309"/>
      <c r="R17" s="309"/>
      <c r="S17" s="309"/>
      <c r="T17" s="309"/>
      <c r="U17" s="310"/>
      <c r="V17" s="291"/>
      <c r="W17" s="288"/>
      <c r="X17" s="286"/>
      <c r="Y17" s="286"/>
      <c r="Z17" s="286"/>
      <c r="AA17" s="287"/>
      <c r="AB17" s="291"/>
      <c r="AC17" s="288"/>
      <c r="AD17" s="286"/>
      <c r="AE17" s="286"/>
      <c r="AF17" s="286"/>
      <c r="AG17" s="287"/>
      <c r="AH17" s="299"/>
      <c r="AI17" s="300"/>
      <c r="AJ17" s="300"/>
      <c r="AK17" s="300"/>
      <c r="AL17" s="300"/>
      <c r="AM17" s="301"/>
      <c r="AN17" s="70"/>
      <c r="AO17" s="253"/>
      <c r="AP17" s="254"/>
      <c r="AQ17" s="254"/>
      <c r="AR17" s="254"/>
      <c r="AS17" s="254"/>
      <c r="AT17" s="255"/>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39"/>
      <c r="C18" s="239"/>
      <c r="D18" s="240"/>
      <c r="E18" s="280"/>
      <c r="F18" s="281"/>
      <c r="G18" s="281"/>
      <c r="H18" s="281"/>
      <c r="I18" s="294"/>
      <c r="J18" s="308" t="str">
        <f>IF(AND('Mapa final'!$J$45="Alta",'Mapa final'!$N$45="Leve"),CONCATENATE("R",'Mapa final'!$A$45),"")</f>
        <v/>
      </c>
      <c r="K18" s="309"/>
      <c r="L18" s="309" t="str">
        <f>IF(AND('Mapa final'!$J$51="Alta",'Mapa final'!$N$51="Leve"),CONCATENATE("R",'Mapa final'!$A$51),"")</f>
        <v/>
      </c>
      <c r="M18" s="309"/>
      <c r="N18" s="309" t="str">
        <f>IF(AND('Mapa final'!$J$57="Alta",'Mapa final'!$N$57="Leve"),CONCATENATE("R",'Mapa final'!$A$57),"")</f>
        <v/>
      </c>
      <c r="O18" s="310"/>
      <c r="P18" s="308" t="str">
        <f>IF(AND('Mapa final'!$J$45="Alta",'Mapa final'!$N$45="Menor"),CONCATENATE("R",'Mapa final'!$A$45),"")</f>
        <v/>
      </c>
      <c r="Q18" s="309"/>
      <c r="R18" s="309" t="str">
        <f>IF(AND('Mapa final'!$J$51="Alta",'Mapa final'!$N$51="Menor"),CONCATENATE("R",'Mapa final'!$A$51),"")</f>
        <v/>
      </c>
      <c r="S18" s="309"/>
      <c r="T18" s="309" t="str">
        <f>IF(AND('Mapa final'!$J$57="Alta",'Mapa final'!$N$57="Menor"),CONCATENATE("R",'Mapa final'!$A$57),"")</f>
        <v/>
      </c>
      <c r="U18" s="310"/>
      <c r="V18" s="291" t="str">
        <f>IF(AND('Mapa final'!$J$45="Alta",'Mapa final'!$N$45="Moderado"),CONCATENATE("R",'Mapa final'!$A$45),"")</f>
        <v/>
      </c>
      <c r="W18" s="288"/>
      <c r="X18" s="286" t="str">
        <f>IF(AND('Mapa final'!$J$51="Alta",'Mapa final'!$N$51="Moderado"),CONCATENATE("R",'Mapa final'!$A$51),"")</f>
        <v/>
      </c>
      <c r="Y18" s="286"/>
      <c r="Z18" s="286" t="str">
        <f>IF(AND('Mapa final'!$J$57="Alta",'Mapa final'!$N$57="Moderado"),CONCATENATE("R",'Mapa final'!$A$57),"")</f>
        <v/>
      </c>
      <c r="AA18" s="287"/>
      <c r="AB18" s="291" t="str">
        <f>IF(AND('Mapa final'!$J$45="Alta",'Mapa final'!$N$45="Mayor"),CONCATENATE("R",'Mapa final'!$A$45),"")</f>
        <v/>
      </c>
      <c r="AC18" s="288"/>
      <c r="AD18" s="286" t="str">
        <f>IF(AND('Mapa final'!$J$51="Alta",'Mapa final'!$N$51="Mayor"),CONCATENATE("R",'Mapa final'!$A$51),"")</f>
        <v/>
      </c>
      <c r="AE18" s="286"/>
      <c r="AF18" s="286" t="str">
        <f>IF(AND('Mapa final'!$J$57="Alta",'Mapa final'!$N$57="Mayor"),CONCATENATE("R",'Mapa final'!$A$57),"")</f>
        <v/>
      </c>
      <c r="AG18" s="287"/>
      <c r="AH18" s="299" t="str">
        <f>IF(AND('Mapa final'!$J$45="Alta",'Mapa final'!$N$45="Catastrófico"),CONCATENATE("R",'Mapa final'!$A$45),"")</f>
        <v/>
      </c>
      <c r="AI18" s="300"/>
      <c r="AJ18" s="300" t="str">
        <f>IF(AND('Mapa final'!$J$51="Alta",'Mapa final'!$N$51="Catastrófico"),CONCATENATE("R",'Mapa final'!$A$51),"")</f>
        <v/>
      </c>
      <c r="AK18" s="300"/>
      <c r="AL18" s="300" t="str">
        <f>IF(AND('Mapa final'!$J$57="Alta",'Mapa final'!$N$57="Catastrófico"),CONCATENATE("R",'Mapa final'!$A$57),"")</f>
        <v/>
      </c>
      <c r="AM18" s="301"/>
      <c r="AN18" s="70"/>
      <c r="AO18" s="253"/>
      <c r="AP18" s="254"/>
      <c r="AQ18" s="254"/>
      <c r="AR18" s="254"/>
      <c r="AS18" s="254"/>
      <c r="AT18" s="255"/>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39"/>
      <c r="C19" s="239"/>
      <c r="D19" s="240"/>
      <c r="E19" s="280"/>
      <c r="F19" s="281"/>
      <c r="G19" s="281"/>
      <c r="H19" s="281"/>
      <c r="I19" s="294"/>
      <c r="J19" s="308"/>
      <c r="K19" s="309"/>
      <c r="L19" s="309"/>
      <c r="M19" s="309"/>
      <c r="N19" s="309"/>
      <c r="O19" s="310"/>
      <c r="P19" s="308"/>
      <c r="Q19" s="309"/>
      <c r="R19" s="309"/>
      <c r="S19" s="309"/>
      <c r="T19" s="309"/>
      <c r="U19" s="310"/>
      <c r="V19" s="291"/>
      <c r="W19" s="288"/>
      <c r="X19" s="286"/>
      <c r="Y19" s="286"/>
      <c r="Z19" s="286"/>
      <c r="AA19" s="287"/>
      <c r="AB19" s="291"/>
      <c r="AC19" s="288"/>
      <c r="AD19" s="286"/>
      <c r="AE19" s="286"/>
      <c r="AF19" s="286"/>
      <c r="AG19" s="287"/>
      <c r="AH19" s="299"/>
      <c r="AI19" s="300"/>
      <c r="AJ19" s="300"/>
      <c r="AK19" s="300"/>
      <c r="AL19" s="300"/>
      <c r="AM19" s="301"/>
      <c r="AN19" s="70"/>
      <c r="AO19" s="253"/>
      <c r="AP19" s="254"/>
      <c r="AQ19" s="254"/>
      <c r="AR19" s="254"/>
      <c r="AS19" s="254"/>
      <c r="AT19" s="255"/>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39"/>
      <c r="C20" s="239"/>
      <c r="D20" s="240"/>
      <c r="E20" s="280"/>
      <c r="F20" s="281"/>
      <c r="G20" s="281"/>
      <c r="H20" s="281"/>
      <c r="I20" s="294"/>
      <c r="J20" s="308" t="str">
        <f>IF(AND('Mapa final'!$J$63="Alta",'Mapa final'!$N$63="Leve"),CONCATENATE("R",'Mapa final'!$A$63),"")</f>
        <v/>
      </c>
      <c r="K20" s="309"/>
      <c r="L20" s="309" t="str">
        <f>IF(AND('Mapa final'!$J$70="Alta",'Mapa final'!$N$70="Leve"),CONCATENATE("R",'Mapa final'!$A$70),"")</f>
        <v/>
      </c>
      <c r="M20" s="309"/>
      <c r="N20" s="309" t="str">
        <f>IF(AND('Mapa final'!$J$76="Alta",'Mapa final'!$N$76="Leve"),CONCATENATE("R",'Mapa final'!$A$76),"")</f>
        <v/>
      </c>
      <c r="O20" s="310"/>
      <c r="P20" s="308" t="str">
        <f>IF(AND('Mapa final'!$J$63="Alta",'Mapa final'!$N$63="Menor"),CONCATENATE("R",'Mapa final'!$A$63),"")</f>
        <v/>
      </c>
      <c r="Q20" s="309"/>
      <c r="R20" s="309" t="str">
        <f>IF(AND('Mapa final'!$J$70="Alta",'Mapa final'!$N$70="Menor"),CONCATENATE("R",'Mapa final'!$A$70),"")</f>
        <v/>
      </c>
      <c r="S20" s="309"/>
      <c r="T20" s="309" t="str">
        <f>IF(AND('Mapa final'!$J$76="Alta",'Mapa final'!$N$76="Menor"),CONCATENATE("R",'Mapa final'!$A$76),"")</f>
        <v/>
      </c>
      <c r="U20" s="310"/>
      <c r="V20" s="291" t="str">
        <f>IF(AND('Mapa final'!$J$63="Alta",'Mapa final'!$N$63="Moderado"),CONCATENATE("R",'Mapa final'!$A$63),"")</f>
        <v/>
      </c>
      <c r="W20" s="288"/>
      <c r="X20" s="286" t="str">
        <f>IF(AND('Mapa final'!$J$70="Alta",'Mapa final'!$N$70="Moderado"),CONCATENATE("R",'Mapa final'!$A$70),"")</f>
        <v/>
      </c>
      <c r="Y20" s="286"/>
      <c r="Z20" s="286" t="str">
        <f>IF(AND('Mapa final'!$J$76="Alta",'Mapa final'!$N$76="Moderado"),CONCATENATE("R",'Mapa final'!$A$76),"")</f>
        <v/>
      </c>
      <c r="AA20" s="287"/>
      <c r="AB20" s="291" t="str">
        <f>IF(AND('Mapa final'!$J$63="Alta",'Mapa final'!$N$63="Mayor"),CONCATENATE("R",'Mapa final'!$A$63),"")</f>
        <v/>
      </c>
      <c r="AC20" s="288"/>
      <c r="AD20" s="286" t="str">
        <f>IF(AND('Mapa final'!$J$70="Alta",'Mapa final'!$N$70="Mayor"),CONCATENATE("R",'Mapa final'!$A$70),"")</f>
        <v/>
      </c>
      <c r="AE20" s="286"/>
      <c r="AF20" s="286" t="str">
        <f>IF(AND('Mapa final'!$J$76="Alta",'Mapa final'!$N$76="Mayor"),CONCATENATE("R",'Mapa final'!$A$76),"")</f>
        <v/>
      </c>
      <c r="AG20" s="287"/>
      <c r="AH20" s="299" t="str">
        <f>IF(AND('Mapa final'!$J$63="Alta",'Mapa final'!$N$63="Catastrófico"),CONCATENATE("R",'Mapa final'!$A$63),"")</f>
        <v/>
      </c>
      <c r="AI20" s="300"/>
      <c r="AJ20" s="300" t="str">
        <f>IF(AND('Mapa final'!$J$70="Alta",'Mapa final'!$N$70="Catastrófico"),CONCATENATE("R",'Mapa final'!$A$70),"")</f>
        <v/>
      </c>
      <c r="AK20" s="300"/>
      <c r="AL20" s="300" t="str">
        <f>IF(AND('Mapa final'!$J$76="Alta",'Mapa final'!$N$76="Catastrófico"),CONCATENATE("R",'Mapa final'!$A$76),"")</f>
        <v/>
      </c>
      <c r="AM20" s="301"/>
      <c r="AN20" s="70"/>
      <c r="AO20" s="253"/>
      <c r="AP20" s="254"/>
      <c r="AQ20" s="254"/>
      <c r="AR20" s="254"/>
      <c r="AS20" s="254"/>
      <c r="AT20" s="255"/>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39"/>
      <c r="C21" s="239"/>
      <c r="D21" s="240"/>
      <c r="E21" s="283"/>
      <c r="F21" s="284"/>
      <c r="G21" s="284"/>
      <c r="H21" s="284"/>
      <c r="I21" s="284"/>
      <c r="J21" s="311"/>
      <c r="K21" s="312"/>
      <c r="L21" s="312"/>
      <c r="M21" s="312"/>
      <c r="N21" s="312"/>
      <c r="O21" s="313"/>
      <c r="P21" s="311"/>
      <c r="Q21" s="312"/>
      <c r="R21" s="312"/>
      <c r="S21" s="312"/>
      <c r="T21" s="312"/>
      <c r="U21" s="313"/>
      <c r="V21" s="296"/>
      <c r="W21" s="297"/>
      <c r="X21" s="297"/>
      <c r="Y21" s="297"/>
      <c r="Z21" s="297"/>
      <c r="AA21" s="298"/>
      <c r="AB21" s="296"/>
      <c r="AC21" s="297"/>
      <c r="AD21" s="297"/>
      <c r="AE21" s="297"/>
      <c r="AF21" s="297"/>
      <c r="AG21" s="298"/>
      <c r="AH21" s="302"/>
      <c r="AI21" s="303"/>
      <c r="AJ21" s="303"/>
      <c r="AK21" s="303"/>
      <c r="AL21" s="303"/>
      <c r="AM21" s="304"/>
      <c r="AN21" s="70"/>
      <c r="AO21" s="256"/>
      <c r="AP21" s="257"/>
      <c r="AQ21" s="257"/>
      <c r="AR21" s="257"/>
      <c r="AS21" s="257"/>
      <c r="AT21" s="258"/>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x14ac:dyDescent="0.25">
      <c r="A22" s="70"/>
      <c r="B22" s="239"/>
      <c r="C22" s="239"/>
      <c r="D22" s="240"/>
      <c r="E22" s="277" t="s">
        <v>113</v>
      </c>
      <c r="F22" s="278"/>
      <c r="G22" s="278"/>
      <c r="H22" s="278"/>
      <c r="I22" s="279"/>
      <c r="J22" s="314" t="str">
        <f>IF(AND('Mapa final'!$J$9="Media",'Mapa final'!$N$9="Leve"),CONCATENATE("R",'Mapa final'!$A$9),"")</f>
        <v/>
      </c>
      <c r="K22" s="315"/>
      <c r="L22" s="315" t="str">
        <f>IF(AND('Mapa final'!$J$15="Media",'Mapa final'!$N$15="Leve"),CONCATENATE("R",'Mapa final'!$A$15),"")</f>
        <v>R2</v>
      </c>
      <c r="M22" s="315"/>
      <c r="N22" s="315" t="str">
        <f>IF(AND('Mapa final'!$J$21="Media",'Mapa final'!$N$21="Leve"),CONCATENATE("R",'Mapa final'!$A$21),"")</f>
        <v/>
      </c>
      <c r="O22" s="316"/>
      <c r="P22" s="314" t="str">
        <f>IF(AND('Mapa final'!$J$9="Media",'Mapa final'!$N$9="Menor"),CONCATENATE("R",'Mapa final'!$A$9),"")</f>
        <v/>
      </c>
      <c r="Q22" s="315"/>
      <c r="R22" s="315" t="str">
        <f>IF(AND('Mapa final'!$J$15="Media",'Mapa final'!$N$15="Menor"),CONCATENATE("R",'Mapa final'!$A$15),"")</f>
        <v/>
      </c>
      <c r="S22" s="315"/>
      <c r="T22" s="315" t="str">
        <f>IF(AND('Mapa final'!$J$21="Media",'Mapa final'!$N$21="Menor"),CONCATENATE("R",'Mapa final'!$A$21),"")</f>
        <v/>
      </c>
      <c r="U22" s="316"/>
      <c r="V22" s="314" t="str">
        <f>IF(AND('Mapa final'!$J$9="Media",'Mapa final'!$N$9="Moderado"),CONCATENATE("R",'Mapa final'!$A$9),"")</f>
        <v/>
      </c>
      <c r="W22" s="315"/>
      <c r="X22" s="315" t="str">
        <f>IF(AND('Mapa final'!$J$15="Media",'Mapa final'!$N$15="Moderado"),CONCATENATE("R",'Mapa final'!$A$15),"")</f>
        <v/>
      </c>
      <c r="Y22" s="315"/>
      <c r="Z22" s="315" t="str">
        <f>IF(AND('Mapa final'!$J$21="Media",'Mapa final'!$N$21="Moderado"),CONCATENATE("R",'Mapa final'!$A$21),"")</f>
        <v/>
      </c>
      <c r="AA22" s="316"/>
      <c r="AB22" s="289" t="str">
        <f>IF(AND('Mapa final'!$J$9="Media",'Mapa final'!$N$9="Mayor"),CONCATENATE("R",'Mapa final'!$A$9),"")</f>
        <v>R1</v>
      </c>
      <c r="AC22" s="290"/>
      <c r="AD22" s="290" t="str">
        <f>IF(AND('Mapa final'!$J$15="Media",'Mapa final'!$N$15="Mayor"),CONCATENATE("R",'Mapa final'!$A$15),"")</f>
        <v/>
      </c>
      <c r="AE22" s="290"/>
      <c r="AF22" s="290" t="str">
        <f>IF(AND('Mapa final'!$J$21="Media",'Mapa final'!$N$21="Mayor"),CONCATENATE("R",'Mapa final'!$A$21),"")</f>
        <v/>
      </c>
      <c r="AG22" s="292"/>
      <c r="AH22" s="305" t="str">
        <f>IF(AND('Mapa final'!$J$9="Media",'Mapa final'!$N$9="Catastrófico"),CONCATENATE("R",'Mapa final'!$A$9),"")</f>
        <v/>
      </c>
      <c r="AI22" s="306"/>
      <c r="AJ22" s="306" t="str">
        <f>IF(AND('Mapa final'!$J$15="Media",'Mapa final'!$N$15="Catastrófico"),CONCATENATE("R",'Mapa final'!$A$15),"")</f>
        <v/>
      </c>
      <c r="AK22" s="306"/>
      <c r="AL22" s="306" t="str">
        <f>IF(AND('Mapa final'!$J$21="Media",'Mapa final'!$N$21="Catastrófico"),CONCATENATE("R",'Mapa final'!$A$21),"")</f>
        <v/>
      </c>
      <c r="AM22" s="307"/>
      <c r="AN22" s="70"/>
      <c r="AO22" s="259" t="s">
        <v>77</v>
      </c>
      <c r="AP22" s="260"/>
      <c r="AQ22" s="260"/>
      <c r="AR22" s="260"/>
      <c r="AS22" s="260"/>
      <c r="AT22" s="261"/>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x14ac:dyDescent="0.25">
      <c r="A23" s="70"/>
      <c r="B23" s="239"/>
      <c r="C23" s="239"/>
      <c r="D23" s="240"/>
      <c r="E23" s="280"/>
      <c r="F23" s="281"/>
      <c r="G23" s="281"/>
      <c r="H23" s="281"/>
      <c r="I23" s="282"/>
      <c r="J23" s="308"/>
      <c r="K23" s="309"/>
      <c r="L23" s="309"/>
      <c r="M23" s="309"/>
      <c r="N23" s="309"/>
      <c r="O23" s="310"/>
      <c r="P23" s="308"/>
      <c r="Q23" s="309"/>
      <c r="R23" s="309"/>
      <c r="S23" s="309"/>
      <c r="T23" s="309"/>
      <c r="U23" s="310"/>
      <c r="V23" s="308"/>
      <c r="W23" s="309"/>
      <c r="X23" s="309"/>
      <c r="Y23" s="309"/>
      <c r="Z23" s="309"/>
      <c r="AA23" s="310"/>
      <c r="AB23" s="291"/>
      <c r="AC23" s="288"/>
      <c r="AD23" s="288"/>
      <c r="AE23" s="288"/>
      <c r="AF23" s="288"/>
      <c r="AG23" s="287"/>
      <c r="AH23" s="299"/>
      <c r="AI23" s="300"/>
      <c r="AJ23" s="300"/>
      <c r="AK23" s="300"/>
      <c r="AL23" s="300"/>
      <c r="AM23" s="301"/>
      <c r="AN23" s="70"/>
      <c r="AO23" s="262"/>
      <c r="AP23" s="263"/>
      <c r="AQ23" s="263"/>
      <c r="AR23" s="263"/>
      <c r="AS23" s="263"/>
      <c r="AT23" s="264"/>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x14ac:dyDescent="0.25">
      <c r="A24" s="70"/>
      <c r="B24" s="239"/>
      <c r="C24" s="239"/>
      <c r="D24" s="240"/>
      <c r="E24" s="280"/>
      <c r="F24" s="281"/>
      <c r="G24" s="281"/>
      <c r="H24" s="281"/>
      <c r="I24" s="282"/>
      <c r="J24" s="308" t="str">
        <f>IF(AND('Mapa final'!$J$27="Media",'Mapa final'!$N$27="Leve"),CONCATENATE("R",'Mapa final'!$A$27),"")</f>
        <v/>
      </c>
      <c r="K24" s="309"/>
      <c r="L24" s="309" t="str">
        <f>IF(AND('Mapa final'!$J$33="Media",'Mapa final'!$N$33="Leve"),CONCATENATE("R",'Mapa final'!$A$33),"")</f>
        <v/>
      </c>
      <c r="M24" s="309"/>
      <c r="N24" s="309" t="str">
        <f>IF(AND('Mapa final'!$J$39="Media",'Mapa final'!$N$39="Leve"),CONCATENATE("R",'Mapa final'!$A$39),"")</f>
        <v/>
      </c>
      <c r="O24" s="310"/>
      <c r="P24" s="308" t="str">
        <f>IF(AND('Mapa final'!$J$27="Media",'Mapa final'!$N$27="Menor"),CONCATENATE("R",'Mapa final'!$A$27),"")</f>
        <v/>
      </c>
      <c r="Q24" s="309"/>
      <c r="R24" s="309" t="str">
        <f>IF(AND('Mapa final'!$J$33="Media",'Mapa final'!$N$33="Menor"),CONCATENATE("R",'Mapa final'!$A$33),"")</f>
        <v/>
      </c>
      <c r="S24" s="309"/>
      <c r="T24" s="309" t="str">
        <f>IF(AND('Mapa final'!$J$39="Media",'Mapa final'!$N$39="Menor"),CONCATENATE("R",'Mapa final'!$A$39),"")</f>
        <v/>
      </c>
      <c r="U24" s="310"/>
      <c r="V24" s="308" t="str">
        <f>IF(AND('Mapa final'!$J$27="Media",'Mapa final'!$N$27="Moderado"),CONCATENATE("R",'Mapa final'!$A$27),"")</f>
        <v/>
      </c>
      <c r="W24" s="309"/>
      <c r="X24" s="309" t="str">
        <f>IF(AND('Mapa final'!$J$33="Media",'Mapa final'!$N$33="Moderado"),CONCATENATE("R",'Mapa final'!$A$33),"")</f>
        <v/>
      </c>
      <c r="Y24" s="309"/>
      <c r="Z24" s="309" t="str">
        <f>IF(AND('Mapa final'!$J$39="Media",'Mapa final'!$N$39="Moderado"),CONCATENATE("R",'Mapa final'!$A$39),"")</f>
        <v/>
      </c>
      <c r="AA24" s="310"/>
      <c r="AB24" s="291" t="str">
        <f>IF(AND('Mapa final'!$J$27="Media",'Mapa final'!$N$27="Mayor"),CONCATENATE("R",'Mapa final'!$A$27),"")</f>
        <v/>
      </c>
      <c r="AC24" s="288"/>
      <c r="AD24" s="286" t="str">
        <f>IF(AND('Mapa final'!$J$33="Media",'Mapa final'!$N$33="Mayor"),CONCATENATE("R",'Mapa final'!$A$33),"")</f>
        <v/>
      </c>
      <c r="AE24" s="286"/>
      <c r="AF24" s="286" t="str">
        <f>IF(AND('Mapa final'!$J$39="Media",'Mapa final'!$N$39="Mayor"),CONCATENATE("R",'Mapa final'!$A$39),"")</f>
        <v/>
      </c>
      <c r="AG24" s="287"/>
      <c r="AH24" s="299" t="str">
        <f>IF(AND('Mapa final'!$J$27="Media",'Mapa final'!$N$27="Catastrófico"),CONCATENATE("R",'Mapa final'!$A$27),"")</f>
        <v/>
      </c>
      <c r="AI24" s="300"/>
      <c r="AJ24" s="300" t="str">
        <f>IF(AND('Mapa final'!$J$33="Media",'Mapa final'!$N$33="Catastrófico"),CONCATENATE("R",'Mapa final'!$A$33),"")</f>
        <v/>
      </c>
      <c r="AK24" s="300"/>
      <c r="AL24" s="300" t="str">
        <f>IF(AND('Mapa final'!$J$39="Media",'Mapa final'!$N$39="Catastrófico"),CONCATENATE("R",'Mapa final'!$A$39),"")</f>
        <v/>
      </c>
      <c r="AM24" s="301"/>
      <c r="AN24" s="70"/>
      <c r="AO24" s="262"/>
      <c r="AP24" s="263"/>
      <c r="AQ24" s="263"/>
      <c r="AR24" s="263"/>
      <c r="AS24" s="263"/>
      <c r="AT24" s="264"/>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x14ac:dyDescent="0.25">
      <c r="A25" s="70"/>
      <c r="B25" s="239"/>
      <c r="C25" s="239"/>
      <c r="D25" s="240"/>
      <c r="E25" s="280"/>
      <c r="F25" s="281"/>
      <c r="G25" s="281"/>
      <c r="H25" s="281"/>
      <c r="I25" s="282"/>
      <c r="J25" s="308"/>
      <c r="K25" s="309"/>
      <c r="L25" s="309"/>
      <c r="M25" s="309"/>
      <c r="N25" s="309"/>
      <c r="O25" s="310"/>
      <c r="P25" s="308"/>
      <c r="Q25" s="309"/>
      <c r="R25" s="309"/>
      <c r="S25" s="309"/>
      <c r="T25" s="309"/>
      <c r="U25" s="310"/>
      <c r="V25" s="308"/>
      <c r="W25" s="309"/>
      <c r="X25" s="309"/>
      <c r="Y25" s="309"/>
      <c r="Z25" s="309"/>
      <c r="AA25" s="310"/>
      <c r="AB25" s="291"/>
      <c r="AC25" s="288"/>
      <c r="AD25" s="286"/>
      <c r="AE25" s="286"/>
      <c r="AF25" s="286"/>
      <c r="AG25" s="287"/>
      <c r="AH25" s="299"/>
      <c r="AI25" s="300"/>
      <c r="AJ25" s="300"/>
      <c r="AK25" s="300"/>
      <c r="AL25" s="300"/>
      <c r="AM25" s="301"/>
      <c r="AN25" s="70"/>
      <c r="AO25" s="262"/>
      <c r="AP25" s="263"/>
      <c r="AQ25" s="263"/>
      <c r="AR25" s="263"/>
      <c r="AS25" s="263"/>
      <c r="AT25" s="264"/>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x14ac:dyDescent="0.25">
      <c r="A26" s="70"/>
      <c r="B26" s="239"/>
      <c r="C26" s="239"/>
      <c r="D26" s="240"/>
      <c r="E26" s="280"/>
      <c r="F26" s="281"/>
      <c r="G26" s="281"/>
      <c r="H26" s="281"/>
      <c r="I26" s="282"/>
      <c r="J26" s="308" t="str">
        <f>IF(AND('Mapa final'!$J$45="Media",'Mapa final'!$N$45="Leve"),CONCATENATE("R",'Mapa final'!$A$45),"")</f>
        <v/>
      </c>
      <c r="K26" s="309"/>
      <c r="L26" s="309" t="str">
        <f>IF(AND('Mapa final'!$J$51="Media",'Mapa final'!$N$51="Leve"),CONCATENATE("R",'Mapa final'!$A$51),"")</f>
        <v/>
      </c>
      <c r="M26" s="309"/>
      <c r="N26" s="309" t="str">
        <f>IF(AND('Mapa final'!$J$57="Media",'Mapa final'!$N$57="Leve"),CONCATENATE("R",'Mapa final'!$A$57),"")</f>
        <v/>
      </c>
      <c r="O26" s="310"/>
      <c r="P26" s="308" t="str">
        <f>IF(AND('Mapa final'!$J$45="Media",'Mapa final'!$N$45="Menor"),CONCATENATE("R",'Mapa final'!$A$45),"")</f>
        <v/>
      </c>
      <c r="Q26" s="309"/>
      <c r="R26" s="309" t="str">
        <f>IF(AND('Mapa final'!$J$51="Media",'Mapa final'!$N$51="Menor"),CONCATENATE("R",'Mapa final'!$A$51),"")</f>
        <v/>
      </c>
      <c r="S26" s="309"/>
      <c r="T26" s="309" t="str">
        <f>IF(AND('Mapa final'!$J$57="Media",'Mapa final'!$N$57="Menor"),CONCATENATE("R",'Mapa final'!$A$57),"")</f>
        <v/>
      </c>
      <c r="U26" s="310"/>
      <c r="V26" s="308" t="str">
        <f>IF(AND('Mapa final'!$J$45="Media",'Mapa final'!$N$45="Moderado"),CONCATENATE("R",'Mapa final'!$A$45),"")</f>
        <v/>
      </c>
      <c r="W26" s="309"/>
      <c r="X26" s="309" t="str">
        <f>IF(AND('Mapa final'!$J$51="Media",'Mapa final'!$N$51="Moderado"),CONCATENATE("R",'Mapa final'!$A$51),"")</f>
        <v/>
      </c>
      <c r="Y26" s="309"/>
      <c r="Z26" s="309" t="str">
        <f>IF(AND('Mapa final'!$J$57="Media",'Mapa final'!$N$57="Moderado"),CONCATENATE("R",'Mapa final'!$A$57),"")</f>
        <v/>
      </c>
      <c r="AA26" s="310"/>
      <c r="AB26" s="291" t="str">
        <f>IF(AND('Mapa final'!$J$45="Media",'Mapa final'!$N$45="Mayor"),CONCATENATE("R",'Mapa final'!$A$45),"")</f>
        <v/>
      </c>
      <c r="AC26" s="288"/>
      <c r="AD26" s="286" t="str">
        <f>IF(AND('Mapa final'!$J$51="Media",'Mapa final'!$N$51="Mayor"),CONCATENATE("R",'Mapa final'!$A$51),"")</f>
        <v/>
      </c>
      <c r="AE26" s="286"/>
      <c r="AF26" s="286" t="str">
        <f>IF(AND('Mapa final'!$J$57="Media",'Mapa final'!$N$57="Mayor"),CONCATENATE("R",'Mapa final'!$A$57),"")</f>
        <v/>
      </c>
      <c r="AG26" s="287"/>
      <c r="AH26" s="299" t="str">
        <f>IF(AND('Mapa final'!$J$45="Media",'Mapa final'!$N$45="Catastrófico"),CONCATENATE("R",'Mapa final'!$A$45),"")</f>
        <v/>
      </c>
      <c r="AI26" s="300"/>
      <c r="AJ26" s="300" t="str">
        <f>IF(AND('Mapa final'!$J$51="Media",'Mapa final'!$N$51="Catastrófico"),CONCATENATE("R",'Mapa final'!$A$51),"")</f>
        <v/>
      </c>
      <c r="AK26" s="300"/>
      <c r="AL26" s="300" t="str">
        <f>IF(AND('Mapa final'!$J$57="Media",'Mapa final'!$N$57="Catastrófico"),CONCATENATE("R",'Mapa final'!$A$57),"")</f>
        <v/>
      </c>
      <c r="AM26" s="301"/>
      <c r="AN26" s="70"/>
      <c r="AO26" s="262"/>
      <c r="AP26" s="263"/>
      <c r="AQ26" s="263"/>
      <c r="AR26" s="263"/>
      <c r="AS26" s="263"/>
      <c r="AT26" s="264"/>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x14ac:dyDescent="0.25">
      <c r="A27" s="70"/>
      <c r="B27" s="239"/>
      <c r="C27" s="239"/>
      <c r="D27" s="240"/>
      <c r="E27" s="280"/>
      <c r="F27" s="281"/>
      <c r="G27" s="281"/>
      <c r="H27" s="281"/>
      <c r="I27" s="282"/>
      <c r="J27" s="308"/>
      <c r="K27" s="309"/>
      <c r="L27" s="309"/>
      <c r="M27" s="309"/>
      <c r="N27" s="309"/>
      <c r="O27" s="310"/>
      <c r="P27" s="308"/>
      <c r="Q27" s="309"/>
      <c r="R27" s="309"/>
      <c r="S27" s="309"/>
      <c r="T27" s="309"/>
      <c r="U27" s="310"/>
      <c r="V27" s="308"/>
      <c r="W27" s="309"/>
      <c r="X27" s="309"/>
      <c r="Y27" s="309"/>
      <c r="Z27" s="309"/>
      <c r="AA27" s="310"/>
      <c r="AB27" s="291"/>
      <c r="AC27" s="288"/>
      <c r="AD27" s="286"/>
      <c r="AE27" s="286"/>
      <c r="AF27" s="286"/>
      <c r="AG27" s="287"/>
      <c r="AH27" s="299"/>
      <c r="AI27" s="300"/>
      <c r="AJ27" s="300"/>
      <c r="AK27" s="300"/>
      <c r="AL27" s="300"/>
      <c r="AM27" s="301"/>
      <c r="AN27" s="70"/>
      <c r="AO27" s="262"/>
      <c r="AP27" s="263"/>
      <c r="AQ27" s="263"/>
      <c r="AR27" s="263"/>
      <c r="AS27" s="263"/>
      <c r="AT27" s="264"/>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x14ac:dyDescent="0.25">
      <c r="A28" s="70"/>
      <c r="B28" s="239"/>
      <c r="C28" s="239"/>
      <c r="D28" s="240"/>
      <c r="E28" s="280"/>
      <c r="F28" s="281"/>
      <c r="G28" s="281"/>
      <c r="H28" s="281"/>
      <c r="I28" s="282"/>
      <c r="J28" s="308" t="str">
        <f>IF(AND('Mapa final'!$J$63="Media",'Mapa final'!$N$63="Leve"),CONCATENATE("R",'Mapa final'!$A$63),"")</f>
        <v/>
      </c>
      <c r="K28" s="309"/>
      <c r="L28" s="309" t="str">
        <f>IF(AND('Mapa final'!$J$70="Media",'Mapa final'!$N$70="Leve"),CONCATENATE("R",'Mapa final'!$A$70),"")</f>
        <v/>
      </c>
      <c r="M28" s="309"/>
      <c r="N28" s="309" t="str">
        <f>IF(AND('Mapa final'!$J$76="Media",'Mapa final'!$N$76="Leve"),CONCATENATE("R",'Mapa final'!$A$76),"")</f>
        <v/>
      </c>
      <c r="O28" s="310"/>
      <c r="P28" s="308" t="str">
        <f>IF(AND('Mapa final'!$J$63="Media",'Mapa final'!$N$63="Menor"),CONCATENATE("R",'Mapa final'!$A$63),"")</f>
        <v/>
      </c>
      <c r="Q28" s="309"/>
      <c r="R28" s="309" t="str">
        <f>IF(AND('Mapa final'!$J$70="Media",'Mapa final'!$N$70="Menor"),CONCATENATE("R",'Mapa final'!$A$70),"")</f>
        <v/>
      </c>
      <c r="S28" s="309"/>
      <c r="T28" s="309" t="str">
        <f>IF(AND('Mapa final'!$J$76="Media",'Mapa final'!$N$76="Menor"),CONCATENATE("R",'Mapa final'!$A$76),"")</f>
        <v/>
      </c>
      <c r="U28" s="310"/>
      <c r="V28" s="308" t="str">
        <f>IF(AND('Mapa final'!$J$63="Media",'Mapa final'!$N$63="Moderado"),CONCATENATE("R",'Mapa final'!$A$63),"")</f>
        <v/>
      </c>
      <c r="W28" s="309"/>
      <c r="X28" s="309" t="str">
        <f>IF(AND('Mapa final'!$J$70="Media",'Mapa final'!$N$70="Moderado"),CONCATENATE("R",'Mapa final'!$A$70),"")</f>
        <v/>
      </c>
      <c r="Y28" s="309"/>
      <c r="Z28" s="309" t="str">
        <f>IF(AND('Mapa final'!$J$76="Media",'Mapa final'!$N$76="Moderado"),CONCATENATE("R",'Mapa final'!$A$76),"")</f>
        <v/>
      </c>
      <c r="AA28" s="310"/>
      <c r="AB28" s="291" t="str">
        <f>IF(AND('Mapa final'!$J$63="Media",'Mapa final'!$N$63="Mayor"),CONCATENATE("R",'Mapa final'!$A$63),"")</f>
        <v/>
      </c>
      <c r="AC28" s="288"/>
      <c r="AD28" s="286" t="str">
        <f>IF(AND('Mapa final'!$J$70="Media",'Mapa final'!$N$70="Mayor"),CONCATENATE("R",'Mapa final'!$A$70),"")</f>
        <v/>
      </c>
      <c r="AE28" s="286"/>
      <c r="AF28" s="286" t="str">
        <f>IF(AND('Mapa final'!$J$76="Media",'Mapa final'!$N$76="Mayor"),CONCATENATE("R",'Mapa final'!$A$76),"")</f>
        <v/>
      </c>
      <c r="AG28" s="287"/>
      <c r="AH28" s="299" t="str">
        <f>IF(AND('Mapa final'!$J$63="Media",'Mapa final'!$N$63="Catastrófico"),CONCATENATE("R",'Mapa final'!$A$63),"")</f>
        <v/>
      </c>
      <c r="AI28" s="300"/>
      <c r="AJ28" s="300" t="str">
        <f>IF(AND('Mapa final'!$J$70="Media",'Mapa final'!$N$70="Catastrófico"),CONCATENATE("R",'Mapa final'!$A$70),"")</f>
        <v/>
      </c>
      <c r="AK28" s="300"/>
      <c r="AL28" s="300" t="str">
        <f>IF(AND('Mapa final'!$J$76="Media",'Mapa final'!$N$76="Catastrófico"),CONCATENATE("R",'Mapa final'!$A$76),"")</f>
        <v/>
      </c>
      <c r="AM28" s="301"/>
      <c r="AN28" s="70"/>
      <c r="AO28" s="262"/>
      <c r="AP28" s="263"/>
      <c r="AQ28" s="263"/>
      <c r="AR28" s="263"/>
      <c r="AS28" s="263"/>
      <c r="AT28" s="264"/>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thickBot="1" x14ac:dyDescent="0.3">
      <c r="A29" s="70"/>
      <c r="B29" s="239"/>
      <c r="C29" s="239"/>
      <c r="D29" s="240"/>
      <c r="E29" s="283"/>
      <c r="F29" s="284"/>
      <c r="G29" s="284"/>
      <c r="H29" s="284"/>
      <c r="I29" s="285"/>
      <c r="J29" s="308"/>
      <c r="K29" s="309"/>
      <c r="L29" s="309"/>
      <c r="M29" s="309"/>
      <c r="N29" s="309"/>
      <c r="O29" s="310"/>
      <c r="P29" s="311"/>
      <c r="Q29" s="312"/>
      <c r="R29" s="312"/>
      <c r="S29" s="312"/>
      <c r="T29" s="312"/>
      <c r="U29" s="313"/>
      <c r="V29" s="311"/>
      <c r="W29" s="312"/>
      <c r="X29" s="312"/>
      <c r="Y29" s="312"/>
      <c r="Z29" s="312"/>
      <c r="AA29" s="313"/>
      <c r="AB29" s="296"/>
      <c r="AC29" s="297"/>
      <c r="AD29" s="297"/>
      <c r="AE29" s="297"/>
      <c r="AF29" s="297"/>
      <c r="AG29" s="298"/>
      <c r="AH29" s="302"/>
      <c r="AI29" s="303"/>
      <c r="AJ29" s="303"/>
      <c r="AK29" s="303"/>
      <c r="AL29" s="303"/>
      <c r="AM29" s="304"/>
      <c r="AN29" s="70"/>
      <c r="AO29" s="265"/>
      <c r="AP29" s="266"/>
      <c r="AQ29" s="266"/>
      <c r="AR29" s="266"/>
      <c r="AS29" s="266"/>
      <c r="AT29" s="267"/>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x14ac:dyDescent="0.25">
      <c r="A30" s="70"/>
      <c r="B30" s="239"/>
      <c r="C30" s="239"/>
      <c r="D30" s="240"/>
      <c r="E30" s="277" t="s">
        <v>110</v>
      </c>
      <c r="F30" s="278"/>
      <c r="G30" s="278"/>
      <c r="H30" s="278"/>
      <c r="I30" s="278"/>
      <c r="J30" s="323" t="str">
        <f>IF(AND('Mapa final'!$J$9="Baja",'Mapa final'!$N$9="Leve"),CONCATENATE("R",'Mapa final'!$A$9),"")</f>
        <v/>
      </c>
      <c r="K30" s="324"/>
      <c r="L30" s="324" t="str">
        <f>IF(AND('Mapa final'!$J$15="Baja",'Mapa final'!$N$15="Leve"),CONCATENATE("R",'Mapa final'!$A$15),"")</f>
        <v/>
      </c>
      <c r="M30" s="324"/>
      <c r="N30" s="324" t="str">
        <f>IF(AND('Mapa final'!$J$21="Baja",'Mapa final'!$N$21="Leve"),CONCATENATE("R",'Mapa final'!$A$21),"")</f>
        <v/>
      </c>
      <c r="O30" s="325"/>
      <c r="P30" s="315" t="str">
        <f>IF(AND('Mapa final'!$J$9="Baja",'Mapa final'!$N$9="Menor"),CONCATENATE("R",'Mapa final'!$A$9),"")</f>
        <v/>
      </c>
      <c r="Q30" s="315"/>
      <c r="R30" s="315" t="str">
        <f>IF(AND('Mapa final'!$J$15="Baja",'Mapa final'!$N$15="Menor"),CONCATENATE("R",'Mapa final'!$A$15),"")</f>
        <v/>
      </c>
      <c r="S30" s="315"/>
      <c r="T30" s="315" t="str">
        <f>IF(AND('Mapa final'!$J$21="Baja",'Mapa final'!$N$21="Menor"),CONCATENATE("R",'Mapa final'!$A$21),"")</f>
        <v/>
      </c>
      <c r="U30" s="316"/>
      <c r="V30" s="314" t="str">
        <f>IF(AND('Mapa final'!$J$9="Baja",'Mapa final'!$N$9="Moderado"),CONCATENATE("R",'Mapa final'!$A$9),"")</f>
        <v/>
      </c>
      <c r="W30" s="315"/>
      <c r="X30" s="315" t="str">
        <f>IF(AND('Mapa final'!$J$15="Baja",'Mapa final'!$N$15="Moderado"),CONCATENATE("R",'Mapa final'!$A$15),"")</f>
        <v/>
      </c>
      <c r="Y30" s="315"/>
      <c r="Z30" s="315" t="str">
        <f>IF(AND('Mapa final'!$J$21="Baja",'Mapa final'!$N$21="Moderado"),CONCATENATE("R",'Mapa final'!$A$21),"")</f>
        <v/>
      </c>
      <c r="AA30" s="316"/>
      <c r="AB30" s="289" t="str">
        <f>IF(AND('Mapa final'!$J$9="Baja",'Mapa final'!$N$9="Mayor"),CONCATENATE("R",'Mapa final'!$A$9),"")</f>
        <v/>
      </c>
      <c r="AC30" s="290"/>
      <c r="AD30" s="290" t="str">
        <f>IF(AND('Mapa final'!$J$15="Baja",'Mapa final'!$N$15="Mayor"),CONCATENATE("R",'Mapa final'!$A$15),"")</f>
        <v/>
      </c>
      <c r="AE30" s="290"/>
      <c r="AF30" s="290" t="str">
        <f>IF(AND('Mapa final'!$J$21="Baja",'Mapa final'!$N$21="Mayor"),CONCATENATE("R",'Mapa final'!$A$21),"")</f>
        <v/>
      </c>
      <c r="AG30" s="292"/>
      <c r="AH30" s="305" t="str">
        <f>IF(AND('Mapa final'!$J$9="Baja",'Mapa final'!$N$9="Catastrófico"),CONCATENATE("R",'Mapa final'!$A$9),"")</f>
        <v/>
      </c>
      <c r="AI30" s="306"/>
      <c r="AJ30" s="306" t="str">
        <f>IF(AND('Mapa final'!$J$15="Baja",'Mapa final'!$N$15="Catastrófico"),CONCATENATE("R",'Mapa final'!$A$15),"")</f>
        <v/>
      </c>
      <c r="AK30" s="306"/>
      <c r="AL30" s="306" t="str">
        <f>IF(AND('Mapa final'!$J$21="Baja",'Mapa final'!$N$21="Catastrófico"),CONCATENATE("R",'Mapa final'!$A$21),"")</f>
        <v/>
      </c>
      <c r="AM30" s="307"/>
      <c r="AN30" s="70"/>
      <c r="AO30" s="268" t="s">
        <v>78</v>
      </c>
      <c r="AP30" s="269"/>
      <c r="AQ30" s="269"/>
      <c r="AR30" s="269"/>
      <c r="AS30" s="269"/>
      <c r="AT30" s="2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x14ac:dyDescent="0.25">
      <c r="A31" s="70"/>
      <c r="B31" s="239"/>
      <c r="C31" s="239"/>
      <c r="D31" s="240"/>
      <c r="E31" s="280"/>
      <c r="F31" s="281"/>
      <c r="G31" s="281"/>
      <c r="H31" s="281"/>
      <c r="I31" s="294"/>
      <c r="J31" s="319"/>
      <c r="K31" s="317"/>
      <c r="L31" s="317"/>
      <c r="M31" s="317"/>
      <c r="N31" s="317"/>
      <c r="O31" s="318"/>
      <c r="P31" s="309"/>
      <c r="Q31" s="309"/>
      <c r="R31" s="309"/>
      <c r="S31" s="309"/>
      <c r="T31" s="309"/>
      <c r="U31" s="310"/>
      <c r="V31" s="308"/>
      <c r="W31" s="309"/>
      <c r="X31" s="309"/>
      <c r="Y31" s="309"/>
      <c r="Z31" s="309"/>
      <c r="AA31" s="310"/>
      <c r="AB31" s="291"/>
      <c r="AC31" s="288"/>
      <c r="AD31" s="288"/>
      <c r="AE31" s="288"/>
      <c r="AF31" s="288"/>
      <c r="AG31" s="287"/>
      <c r="AH31" s="299"/>
      <c r="AI31" s="300"/>
      <c r="AJ31" s="300"/>
      <c r="AK31" s="300"/>
      <c r="AL31" s="300"/>
      <c r="AM31" s="301"/>
      <c r="AN31" s="70"/>
      <c r="AO31" s="271"/>
      <c r="AP31" s="272"/>
      <c r="AQ31" s="272"/>
      <c r="AR31" s="272"/>
      <c r="AS31" s="272"/>
      <c r="AT31" s="273"/>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x14ac:dyDescent="0.25">
      <c r="A32" s="70"/>
      <c r="B32" s="239"/>
      <c r="C32" s="239"/>
      <c r="D32" s="240"/>
      <c r="E32" s="280"/>
      <c r="F32" s="281"/>
      <c r="G32" s="281"/>
      <c r="H32" s="281"/>
      <c r="I32" s="294"/>
      <c r="J32" s="319" t="str">
        <f>IF(AND('Mapa final'!$J$27="Baja",'Mapa final'!$N$27="Leve"),CONCATENATE("R",'Mapa final'!$A$27),"")</f>
        <v/>
      </c>
      <c r="K32" s="317"/>
      <c r="L32" s="317" t="str">
        <f>IF(AND('Mapa final'!$J$33="Baja",'Mapa final'!$N$33="Leve"),CONCATENATE("R",'Mapa final'!$A$33),"")</f>
        <v/>
      </c>
      <c r="M32" s="317"/>
      <c r="N32" s="317" t="str">
        <f>IF(AND('Mapa final'!$J$39="Baja",'Mapa final'!$N$39="Leve"),CONCATENATE("R",'Mapa final'!$A$39),"")</f>
        <v/>
      </c>
      <c r="O32" s="318"/>
      <c r="P32" s="309" t="str">
        <f>IF(AND('Mapa final'!$J$27="Baja",'Mapa final'!$N$27="Menor"),CONCATENATE("R",'Mapa final'!$A$27),"")</f>
        <v/>
      </c>
      <c r="Q32" s="309"/>
      <c r="R32" s="309" t="str">
        <f>IF(AND('Mapa final'!$J$33="Baja",'Mapa final'!$N$33="Menor"),CONCATENATE("R",'Mapa final'!$A$33),"")</f>
        <v/>
      </c>
      <c r="S32" s="309"/>
      <c r="T32" s="309" t="str">
        <f>IF(AND('Mapa final'!$J$39="Baja",'Mapa final'!$N$39="Menor"),CONCATENATE("R",'Mapa final'!$A$39),"")</f>
        <v/>
      </c>
      <c r="U32" s="310"/>
      <c r="V32" s="308" t="str">
        <f>IF(AND('Mapa final'!$J$27="Baja",'Mapa final'!$N$27="Moderado"),CONCATENATE("R",'Mapa final'!$A$27),"")</f>
        <v/>
      </c>
      <c r="W32" s="309"/>
      <c r="X32" s="309" t="str">
        <f>IF(AND('Mapa final'!$J$33="Baja",'Mapa final'!$N$33="Moderado"),CONCATENATE("R",'Mapa final'!$A$33),"")</f>
        <v/>
      </c>
      <c r="Y32" s="309"/>
      <c r="Z32" s="309" t="str">
        <f>IF(AND('Mapa final'!$J$39="Baja",'Mapa final'!$N$39="Moderado"),CONCATENATE("R",'Mapa final'!$A$39),"")</f>
        <v/>
      </c>
      <c r="AA32" s="310"/>
      <c r="AB32" s="291" t="str">
        <f>IF(AND('Mapa final'!$J$27="Baja",'Mapa final'!$N$27="Mayor"),CONCATENATE("R",'Mapa final'!$A$27),"")</f>
        <v/>
      </c>
      <c r="AC32" s="288"/>
      <c r="AD32" s="286" t="str">
        <f>IF(AND('Mapa final'!$J$33="Baja",'Mapa final'!$N$33="Mayor"),CONCATENATE("R",'Mapa final'!$A$33),"")</f>
        <v/>
      </c>
      <c r="AE32" s="286"/>
      <c r="AF32" s="286" t="str">
        <f>IF(AND('Mapa final'!$J$39="Baja",'Mapa final'!$N$39="Mayor"),CONCATENATE("R",'Mapa final'!$A$39),"")</f>
        <v/>
      </c>
      <c r="AG32" s="287"/>
      <c r="AH32" s="299" t="str">
        <f>IF(AND('Mapa final'!$J$27="Baja",'Mapa final'!$N$27="Catastrófico"),CONCATENATE("R",'Mapa final'!$A$27),"")</f>
        <v/>
      </c>
      <c r="AI32" s="300"/>
      <c r="AJ32" s="300" t="str">
        <f>IF(AND('Mapa final'!$J$33="Baja",'Mapa final'!$N$33="Catastrófico"),CONCATENATE("R",'Mapa final'!$A$33),"")</f>
        <v/>
      </c>
      <c r="AK32" s="300"/>
      <c r="AL32" s="300" t="str">
        <f>IF(AND('Mapa final'!$J$39="Baja",'Mapa final'!$N$39="Catastrófico"),CONCATENATE("R",'Mapa final'!$A$39),"")</f>
        <v/>
      </c>
      <c r="AM32" s="301"/>
      <c r="AN32" s="70"/>
      <c r="AO32" s="271"/>
      <c r="AP32" s="272"/>
      <c r="AQ32" s="272"/>
      <c r="AR32" s="272"/>
      <c r="AS32" s="272"/>
      <c r="AT32" s="273"/>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x14ac:dyDescent="0.25">
      <c r="A33" s="70"/>
      <c r="B33" s="239"/>
      <c r="C33" s="239"/>
      <c r="D33" s="240"/>
      <c r="E33" s="280"/>
      <c r="F33" s="281"/>
      <c r="G33" s="281"/>
      <c r="H33" s="281"/>
      <c r="I33" s="294"/>
      <c r="J33" s="319"/>
      <c r="K33" s="317"/>
      <c r="L33" s="317"/>
      <c r="M33" s="317"/>
      <c r="N33" s="317"/>
      <c r="O33" s="318"/>
      <c r="P33" s="309"/>
      <c r="Q33" s="309"/>
      <c r="R33" s="309"/>
      <c r="S33" s="309"/>
      <c r="T33" s="309"/>
      <c r="U33" s="310"/>
      <c r="V33" s="308"/>
      <c r="W33" s="309"/>
      <c r="X33" s="309"/>
      <c r="Y33" s="309"/>
      <c r="Z33" s="309"/>
      <c r="AA33" s="310"/>
      <c r="AB33" s="291"/>
      <c r="AC33" s="288"/>
      <c r="AD33" s="286"/>
      <c r="AE33" s="286"/>
      <c r="AF33" s="286"/>
      <c r="AG33" s="287"/>
      <c r="AH33" s="299"/>
      <c r="AI33" s="300"/>
      <c r="AJ33" s="300"/>
      <c r="AK33" s="300"/>
      <c r="AL33" s="300"/>
      <c r="AM33" s="301"/>
      <c r="AN33" s="70"/>
      <c r="AO33" s="271"/>
      <c r="AP33" s="272"/>
      <c r="AQ33" s="272"/>
      <c r="AR33" s="272"/>
      <c r="AS33" s="272"/>
      <c r="AT33" s="273"/>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x14ac:dyDescent="0.25">
      <c r="A34" s="70"/>
      <c r="B34" s="239"/>
      <c r="C34" s="239"/>
      <c r="D34" s="240"/>
      <c r="E34" s="280"/>
      <c r="F34" s="281"/>
      <c r="G34" s="281"/>
      <c r="H34" s="281"/>
      <c r="I34" s="294"/>
      <c r="J34" s="319" t="str">
        <f>IF(AND('Mapa final'!$J$45="Baja",'Mapa final'!$N$45="Leve"),CONCATENATE("R",'Mapa final'!$A$45),"")</f>
        <v/>
      </c>
      <c r="K34" s="317"/>
      <c r="L34" s="317" t="str">
        <f>IF(AND('Mapa final'!$J$51="Baja",'Mapa final'!$N$51="Leve"),CONCATENATE("R",'Mapa final'!$A$51),"")</f>
        <v/>
      </c>
      <c r="M34" s="317"/>
      <c r="N34" s="317" t="str">
        <f>IF(AND('Mapa final'!$J$57="Baja",'Mapa final'!$N$57="Leve"),CONCATENATE("R",'Mapa final'!$A$57),"")</f>
        <v/>
      </c>
      <c r="O34" s="318"/>
      <c r="P34" s="309" t="str">
        <f>IF(AND('Mapa final'!$J$45="Baja",'Mapa final'!$N$45="Menor"),CONCATENATE("R",'Mapa final'!$A$45),"")</f>
        <v/>
      </c>
      <c r="Q34" s="309"/>
      <c r="R34" s="309" t="str">
        <f>IF(AND('Mapa final'!$J$51="Baja",'Mapa final'!$N$51="Menor"),CONCATENATE("R",'Mapa final'!$A$51),"")</f>
        <v/>
      </c>
      <c r="S34" s="309"/>
      <c r="T34" s="309" t="str">
        <f>IF(AND('Mapa final'!$J$57="Baja",'Mapa final'!$N$57="Menor"),CONCATENATE("R",'Mapa final'!$A$57),"")</f>
        <v/>
      </c>
      <c r="U34" s="310"/>
      <c r="V34" s="308" t="str">
        <f>IF(AND('Mapa final'!$J$45="Baja",'Mapa final'!$N$45="Moderado"),CONCATENATE("R",'Mapa final'!$A$45),"")</f>
        <v/>
      </c>
      <c r="W34" s="309"/>
      <c r="X34" s="309" t="str">
        <f>IF(AND('Mapa final'!$J$51="Baja",'Mapa final'!$N$51="Moderado"),CONCATENATE("R",'Mapa final'!$A$51),"")</f>
        <v/>
      </c>
      <c r="Y34" s="309"/>
      <c r="Z34" s="309" t="str">
        <f>IF(AND('Mapa final'!$J$57="Baja",'Mapa final'!$N$57="Moderado"),CONCATENATE("R",'Mapa final'!$A$57),"")</f>
        <v/>
      </c>
      <c r="AA34" s="310"/>
      <c r="AB34" s="291" t="str">
        <f>IF(AND('Mapa final'!$J$45="Baja",'Mapa final'!$N$45="Mayor"),CONCATENATE("R",'Mapa final'!$A$45),"")</f>
        <v/>
      </c>
      <c r="AC34" s="288"/>
      <c r="AD34" s="286" t="str">
        <f>IF(AND('Mapa final'!$J$51="Baja",'Mapa final'!$N$51="Mayor"),CONCATENATE("R",'Mapa final'!$A$51),"")</f>
        <v/>
      </c>
      <c r="AE34" s="286"/>
      <c r="AF34" s="286" t="str">
        <f>IF(AND('Mapa final'!$J$57="Baja",'Mapa final'!$N$57="Mayor"),CONCATENATE("R",'Mapa final'!$A$57),"")</f>
        <v/>
      </c>
      <c r="AG34" s="287"/>
      <c r="AH34" s="299" t="str">
        <f>IF(AND('Mapa final'!$J$45="Baja",'Mapa final'!$N$45="Catastrófico"),CONCATENATE("R",'Mapa final'!$A$45),"")</f>
        <v/>
      </c>
      <c r="AI34" s="300"/>
      <c r="AJ34" s="300" t="str">
        <f>IF(AND('Mapa final'!$J$51="Baja",'Mapa final'!$N$51="Catastrófico"),CONCATENATE("R",'Mapa final'!$A$51),"")</f>
        <v/>
      </c>
      <c r="AK34" s="300"/>
      <c r="AL34" s="300" t="str">
        <f>IF(AND('Mapa final'!$J$57="Baja",'Mapa final'!$N$57="Catastrófico"),CONCATENATE("R",'Mapa final'!$A$57),"")</f>
        <v/>
      </c>
      <c r="AM34" s="301"/>
      <c r="AN34" s="70"/>
      <c r="AO34" s="271"/>
      <c r="AP34" s="272"/>
      <c r="AQ34" s="272"/>
      <c r="AR34" s="272"/>
      <c r="AS34" s="272"/>
      <c r="AT34" s="273"/>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x14ac:dyDescent="0.25">
      <c r="A35" s="70"/>
      <c r="B35" s="239"/>
      <c r="C35" s="239"/>
      <c r="D35" s="240"/>
      <c r="E35" s="280"/>
      <c r="F35" s="281"/>
      <c r="G35" s="281"/>
      <c r="H35" s="281"/>
      <c r="I35" s="294"/>
      <c r="J35" s="319"/>
      <c r="K35" s="317"/>
      <c r="L35" s="317"/>
      <c r="M35" s="317"/>
      <c r="N35" s="317"/>
      <c r="O35" s="318"/>
      <c r="P35" s="309"/>
      <c r="Q35" s="309"/>
      <c r="R35" s="309"/>
      <c r="S35" s="309"/>
      <c r="T35" s="309"/>
      <c r="U35" s="310"/>
      <c r="V35" s="308"/>
      <c r="W35" s="309"/>
      <c r="X35" s="309"/>
      <c r="Y35" s="309"/>
      <c r="Z35" s="309"/>
      <c r="AA35" s="310"/>
      <c r="AB35" s="291"/>
      <c r="AC35" s="288"/>
      <c r="AD35" s="286"/>
      <c r="AE35" s="286"/>
      <c r="AF35" s="286"/>
      <c r="AG35" s="287"/>
      <c r="AH35" s="299"/>
      <c r="AI35" s="300"/>
      <c r="AJ35" s="300"/>
      <c r="AK35" s="300"/>
      <c r="AL35" s="300"/>
      <c r="AM35" s="301"/>
      <c r="AN35" s="70"/>
      <c r="AO35" s="271"/>
      <c r="AP35" s="272"/>
      <c r="AQ35" s="272"/>
      <c r="AR35" s="272"/>
      <c r="AS35" s="272"/>
      <c r="AT35" s="273"/>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x14ac:dyDescent="0.25">
      <c r="A36" s="70"/>
      <c r="B36" s="239"/>
      <c r="C36" s="239"/>
      <c r="D36" s="240"/>
      <c r="E36" s="280"/>
      <c r="F36" s="281"/>
      <c r="G36" s="281"/>
      <c r="H36" s="281"/>
      <c r="I36" s="294"/>
      <c r="J36" s="319" t="str">
        <f>IF(AND('Mapa final'!$J$63="Baja",'Mapa final'!$N$63="Leve"),CONCATENATE("R",'Mapa final'!$A$63),"")</f>
        <v/>
      </c>
      <c r="K36" s="317"/>
      <c r="L36" s="317" t="str">
        <f>IF(AND('Mapa final'!$J$70="Baja",'Mapa final'!$N$70="Leve"),CONCATENATE("R",'Mapa final'!$A$70),"")</f>
        <v/>
      </c>
      <c r="M36" s="317"/>
      <c r="N36" s="317" t="str">
        <f>IF(AND('Mapa final'!$J$76="Baja",'Mapa final'!$N$76="Leve"),CONCATENATE("R",'Mapa final'!$A$76),"")</f>
        <v/>
      </c>
      <c r="O36" s="318"/>
      <c r="P36" s="309" t="str">
        <f>IF(AND('Mapa final'!$J$63="Baja",'Mapa final'!$N$63="Menor"),CONCATENATE("R",'Mapa final'!$A$63),"")</f>
        <v/>
      </c>
      <c r="Q36" s="309"/>
      <c r="R36" s="309" t="str">
        <f>IF(AND('Mapa final'!$J$70="Baja",'Mapa final'!$N$70="Menor"),CONCATENATE("R",'Mapa final'!$A$70),"")</f>
        <v/>
      </c>
      <c r="S36" s="309"/>
      <c r="T36" s="309" t="str">
        <f>IF(AND('Mapa final'!$J$76="Baja",'Mapa final'!$N$76="Menor"),CONCATENATE("R",'Mapa final'!$A$76),"")</f>
        <v/>
      </c>
      <c r="U36" s="310"/>
      <c r="V36" s="308" t="str">
        <f>IF(AND('Mapa final'!$J$63="Baja",'Mapa final'!$N$63="Moderado"),CONCATENATE("R",'Mapa final'!$A$63),"")</f>
        <v/>
      </c>
      <c r="W36" s="309"/>
      <c r="X36" s="309" t="str">
        <f>IF(AND('Mapa final'!$J$70="Baja",'Mapa final'!$N$70="Moderado"),CONCATENATE("R",'Mapa final'!$A$70),"")</f>
        <v/>
      </c>
      <c r="Y36" s="309"/>
      <c r="Z36" s="309" t="str">
        <f>IF(AND('Mapa final'!$J$76="Baja",'Mapa final'!$N$76="Moderado"),CONCATENATE("R",'Mapa final'!$A$76),"")</f>
        <v/>
      </c>
      <c r="AA36" s="310"/>
      <c r="AB36" s="291" t="str">
        <f>IF(AND('Mapa final'!$J$63="Baja",'Mapa final'!$N$63="Mayor"),CONCATENATE("R",'Mapa final'!$A$63),"")</f>
        <v/>
      </c>
      <c r="AC36" s="288"/>
      <c r="AD36" s="286" t="str">
        <f>IF(AND('Mapa final'!$J$70="Baja",'Mapa final'!$N$70="Mayor"),CONCATENATE("R",'Mapa final'!$A$70),"")</f>
        <v/>
      </c>
      <c r="AE36" s="286"/>
      <c r="AF36" s="286" t="str">
        <f>IF(AND('Mapa final'!$J$76="Baja",'Mapa final'!$N$76="Mayor"),CONCATENATE("R",'Mapa final'!$A$76),"")</f>
        <v/>
      </c>
      <c r="AG36" s="287"/>
      <c r="AH36" s="299" t="str">
        <f>IF(AND('Mapa final'!$J$63="Baja",'Mapa final'!$N$63="Catastrófico"),CONCATENATE("R",'Mapa final'!$A$63),"")</f>
        <v/>
      </c>
      <c r="AI36" s="300"/>
      <c r="AJ36" s="300" t="str">
        <f>IF(AND('Mapa final'!$J$70="Baja",'Mapa final'!$N$70="Catastrófico"),CONCATENATE("R",'Mapa final'!$A$70),"")</f>
        <v/>
      </c>
      <c r="AK36" s="300"/>
      <c r="AL36" s="300" t="str">
        <f>IF(AND('Mapa final'!$J$76="Baja",'Mapa final'!$N$76="Catastrófico"),CONCATENATE("R",'Mapa final'!$A$76),"")</f>
        <v/>
      </c>
      <c r="AM36" s="301"/>
      <c r="AN36" s="70"/>
      <c r="AO36" s="271"/>
      <c r="AP36" s="272"/>
      <c r="AQ36" s="272"/>
      <c r="AR36" s="272"/>
      <c r="AS36" s="272"/>
      <c r="AT36" s="273"/>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thickBot="1" x14ac:dyDescent="0.3">
      <c r="A37" s="70"/>
      <c r="B37" s="239"/>
      <c r="C37" s="239"/>
      <c r="D37" s="240"/>
      <c r="E37" s="283"/>
      <c r="F37" s="284"/>
      <c r="G37" s="284"/>
      <c r="H37" s="284"/>
      <c r="I37" s="284"/>
      <c r="J37" s="320"/>
      <c r="K37" s="321"/>
      <c r="L37" s="321"/>
      <c r="M37" s="321"/>
      <c r="N37" s="321"/>
      <c r="O37" s="322"/>
      <c r="P37" s="312"/>
      <c r="Q37" s="312"/>
      <c r="R37" s="312"/>
      <c r="S37" s="312"/>
      <c r="T37" s="312"/>
      <c r="U37" s="313"/>
      <c r="V37" s="311"/>
      <c r="W37" s="312"/>
      <c r="X37" s="312"/>
      <c r="Y37" s="312"/>
      <c r="Z37" s="312"/>
      <c r="AA37" s="313"/>
      <c r="AB37" s="296"/>
      <c r="AC37" s="297"/>
      <c r="AD37" s="297"/>
      <c r="AE37" s="297"/>
      <c r="AF37" s="297"/>
      <c r="AG37" s="298"/>
      <c r="AH37" s="302"/>
      <c r="AI37" s="303"/>
      <c r="AJ37" s="303"/>
      <c r="AK37" s="303"/>
      <c r="AL37" s="303"/>
      <c r="AM37" s="304"/>
      <c r="AN37" s="70"/>
      <c r="AO37" s="274"/>
      <c r="AP37" s="275"/>
      <c r="AQ37" s="275"/>
      <c r="AR37" s="275"/>
      <c r="AS37" s="275"/>
      <c r="AT37" s="276"/>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x14ac:dyDescent="0.25">
      <c r="A38" s="70"/>
      <c r="B38" s="239"/>
      <c r="C38" s="239"/>
      <c r="D38" s="240"/>
      <c r="E38" s="277" t="s">
        <v>109</v>
      </c>
      <c r="F38" s="278"/>
      <c r="G38" s="278"/>
      <c r="H38" s="278"/>
      <c r="I38" s="279"/>
      <c r="J38" s="323" t="str">
        <f>IF(AND('Mapa final'!$J$9="Muy Baja",'Mapa final'!$N$9="Leve"),CONCATENATE("R",'Mapa final'!$A$9),"")</f>
        <v/>
      </c>
      <c r="K38" s="324"/>
      <c r="L38" s="324" t="str">
        <f>IF(AND('Mapa final'!$J$15="Muy Baja",'Mapa final'!$N$15="Leve"),CONCATENATE("R",'Mapa final'!$A$15),"")</f>
        <v/>
      </c>
      <c r="M38" s="324"/>
      <c r="N38" s="324" t="str">
        <f>IF(AND('Mapa final'!$J$21="Muy Baja",'Mapa final'!$N$21="Leve"),CONCATENATE("R",'Mapa final'!$A$21),"")</f>
        <v/>
      </c>
      <c r="O38" s="325"/>
      <c r="P38" s="323" t="str">
        <f>IF(AND('Mapa final'!$J$9="Muy Baja",'Mapa final'!$N$9="Menor"),CONCATENATE("R",'Mapa final'!$A$9),"")</f>
        <v/>
      </c>
      <c r="Q38" s="324"/>
      <c r="R38" s="324" t="str">
        <f>IF(AND('Mapa final'!$J$15="Muy Baja",'Mapa final'!$N$15="Menor"),CONCATENATE("R",'Mapa final'!$A$15),"")</f>
        <v/>
      </c>
      <c r="S38" s="324"/>
      <c r="T38" s="324" t="str">
        <f>IF(AND('Mapa final'!$J$21="Muy Baja",'Mapa final'!$N$21="Menor"),CONCATENATE("R",'Mapa final'!$A$21),"")</f>
        <v/>
      </c>
      <c r="U38" s="325"/>
      <c r="V38" s="314" t="str">
        <f>IF(AND('Mapa final'!$J$9="Muy Baja",'Mapa final'!$N$9="Moderado"),CONCATENATE("R",'Mapa final'!$A$9),"")</f>
        <v/>
      </c>
      <c r="W38" s="315"/>
      <c r="X38" s="315" t="str">
        <f>IF(AND('Mapa final'!$J$15="Muy Baja",'Mapa final'!$N$15="Moderado"),CONCATENATE("R",'Mapa final'!$A$15),"")</f>
        <v/>
      </c>
      <c r="Y38" s="315"/>
      <c r="Z38" s="315" t="str">
        <f>IF(AND('Mapa final'!$J$21="Muy Baja",'Mapa final'!$N$21="Moderado"),CONCATENATE("R",'Mapa final'!$A$21),"")</f>
        <v/>
      </c>
      <c r="AA38" s="316"/>
      <c r="AB38" s="289" t="str">
        <f>IF(AND('Mapa final'!$J$9="Muy Baja",'Mapa final'!$N$9="Mayor"),CONCATENATE("R",'Mapa final'!$A$9),"")</f>
        <v/>
      </c>
      <c r="AC38" s="290"/>
      <c r="AD38" s="290" t="str">
        <f>IF(AND('Mapa final'!$J$15="Muy Baja",'Mapa final'!$N$15="Mayor"),CONCATENATE("R",'Mapa final'!$A$15),"")</f>
        <v/>
      </c>
      <c r="AE38" s="290"/>
      <c r="AF38" s="290" t="str">
        <f>IF(AND('Mapa final'!$J$21="Muy Baja",'Mapa final'!$N$21="Mayor"),CONCATENATE("R",'Mapa final'!$A$21),"")</f>
        <v/>
      </c>
      <c r="AG38" s="292"/>
      <c r="AH38" s="305" t="str">
        <f>IF(AND('Mapa final'!$J$9="Muy Baja",'Mapa final'!$N$9="Catastrófico"),CONCATENATE("R",'Mapa final'!$A$9),"")</f>
        <v/>
      </c>
      <c r="AI38" s="306"/>
      <c r="AJ38" s="306" t="str">
        <f>IF(AND('Mapa final'!$J$15="Muy Baja",'Mapa final'!$N$15="Catastrófico"),CONCATENATE("R",'Mapa final'!$A$15),"")</f>
        <v/>
      </c>
      <c r="AK38" s="306"/>
      <c r="AL38" s="306" t="str">
        <f>IF(AND('Mapa final'!$J$21="Muy Baja",'Mapa final'!$N$21="Catastrófico"),CONCATENATE("R",'Mapa final'!$A$21),"")</f>
        <v/>
      </c>
      <c r="AM38" s="307"/>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x14ac:dyDescent="0.25">
      <c r="A39" s="70"/>
      <c r="B39" s="239"/>
      <c r="C39" s="239"/>
      <c r="D39" s="240"/>
      <c r="E39" s="280"/>
      <c r="F39" s="281"/>
      <c r="G39" s="281"/>
      <c r="H39" s="281"/>
      <c r="I39" s="282"/>
      <c r="J39" s="319"/>
      <c r="K39" s="317"/>
      <c r="L39" s="317"/>
      <c r="M39" s="317"/>
      <c r="N39" s="317"/>
      <c r="O39" s="318"/>
      <c r="P39" s="319"/>
      <c r="Q39" s="317"/>
      <c r="R39" s="317"/>
      <c r="S39" s="317"/>
      <c r="T39" s="317"/>
      <c r="U39" s="318"/>
      <c r="V39" s="308"/>
      <c r="W39" s="309"/>
      <c r="X39" s="309"/>
      <c r="Y39" s="309"/>
      <c r="Z39" s="309"/>
      <c r="AA39" s="310"/>
      <c r="AB39" s="291"/>
      <c r="AC39" s="288"/>
      <c r="AD39" s="288"/>
      <c r="AE39" s="288"/>
      <c r="AF39" s="288"/>
      <c r="AG39" s="287"/>
      <c r="AH39" s="299"/>
      <c r="AI39" s="300"/>
      <c r="AJ39" s="300"/>
      <c r="AK39" s="300"/>
      <c r="AL39" s="300"/>
      <c r="AM39" s="301"/>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x14ac:dyDescent="0.25">
      <c r="A40" s="70"/>
      <c r="B40" s="239"/>
      <c r="C40" s="239"/>
      <c r="D40" s="240"/>
      <c r="E40" s="280"/>
      <c r="F40" s="281"/>
      <c r="G40" s="281"/>
      <c r="H40" s="281"/>
      <c r="I40" s="282"/>
      <c r="J40" s="319" t="str">
        <f>IF(AND('Mapa final'!$J$27="Muy Baja",'Mapa final'!$N$27="Leve"),CONCATENATE("R",'Mapa final'!$A$27),"")</f>
        <v/>
      </c>
      <c r="K40" s="317"/>
      <c r="L40" s="317" t="str">
        <f>IF(AND('Mapa final'!$J$33="Muy Baja",'Mapa final'!$N$33="Leve"),CONCATENATE("R",'Mapa final'!$A$33),"")</f>
        <v/>
      </c>
      <c r="M40" s="317"/>
      <c r="N40" s="317" t="str">
        <f>IF(AND('Mapa final'!$J$39="Muy Baja",'Mapa final'!$N$39="Leve"),CONCATENATE("R",'Mapa final'!$A$39),"")</f>
        <v/>
      </c>
      <c r="O40" s="318"/>
      <c r="P40" s="319" t="str">
        <f>IF(AND('Mapa final'!$J$27="Muy Baja",'Mapa final'!$N$27="Menor"),CONCATENATE("R",'Mapa final'!$A$27),"")</f>
        <v/>
      </c>
      <c r="Q40" s="317"/>
      <c r="R40" s="317" t="str">
        <f>IF(AND('Mapa final'!$J$33="Muy Baja",'Mapa final'!$N$33="Menor"),CONCATENATE("R",'Mapa final'!$A$33),"")</f>
        <v/>
      </c>
      <c r="S40" s="317"/>
      <c r="T40" s="317" t="str">
        <f>IF(AND('Mapa final'!$J$39="Muy Baja",'Mapa final'!$N$39="Menor"),CONCATENATE("R",'Mapa final'!$A$39),"")</f>
        <v/>
      </c>
      <c r="U40" s="318"/>
      <c r="V40" s="308" t="str">
        <f>IF(AND('Mapa final'!$J$27="Muy Baja",'Mapa final'!$N$27="Moderado"),CONCATENATE("R",'Mapa final'!$A$27),"")</f>
        <v/>
      </c>
      <c r="W40" s="309"/>
      <c r="X40" s="309" t="str">
        <f>IF(AND('Mapa final'!$J$33="Muy Baja",'Mapa final'!$N$33="Moderado"),CONCATENATE("R",'Mapa final'!$A$33),"")</f>
        <v/>
      </c>
      <c r="Y40" s="309"/>
      <c r="Z40" s="309" t="str">
        <f>IF(AND('Mapa final'!$J$39="Muy Baja",'Mapa final'!$N$39="Moderado"),CONCATENATE("R",'Mapa final'!$A$39),"")</f>
        <v/>
      </c>
      <c r="AA40" s="310"/>
      <c r="AB40" s="291" t="str">
        <f>IF(AND('Mapa final'!$J$27="Muy Baja",'Mapa final'!$N$27="Mayor"),CONCATENATE("R",'Mapa final'!$A$27),"")</f>
        <v/>
      </c>
      <c r="AC40" s="288"/>
      <c r="AD40" s="286" t="str">
        <f>IF(AND('Mapa final'!$J$33="Muy Baja",'Mapa final'!$N$33="Mayor"),CONCATENATE("R",'Mapa final'!$A$33),"")</f>
        <v/>
      </c>
      <c r="AE40" s="286"/>
      <c r="AF40" s="286" t="str">
        <f>IF(AND('Mapa final'!$J$39="Muy Baja",'Mapa final'!$N$39="Mayor"),CONCATENATE("R",'Mapa final'!$A$39),"")</f>
        <v/>
      </c>
      <c r="AG40" s="287"/>
      <c r="AH40" s="299" t="str">
        <f>IF(AND('Mapa final'!$J$27="Muy Baja",'Mapa final'!$N$27="Catastrófico"),CONCATENATE("R",'Mapa final'!$A$27),"")</f>
        <v/>
      </c>
      <c r="AI40" s="300"/>
      <c r="AJ40" s="300" t="str">
        <f>IF(AND('Mapa final'!$J$33="Muy Baja",'Mapa final'!$N$33="Catastrófico"),CONCATENATE("R",'Mapa final'!$A$33),"")</f>
        <v/>
      </c>
      <c r="AK40" s="300"/>
      <c r="AL40" s="300" t="str">
        <f>IF(AND('Mapa final'!$J$39="Muy Baja",'Mapa final'!$N$39="Catastrófico"),CONCATENATE("R",'Mapa final'!$A$39),"")</f>
        <v/>
      </c>
      <c r="AM40" s="301"/>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x14ac:dyDescent="0.25">
      <c r="A41" s="70"/>
      <c r="B41" s="239"/>
      <c r="C41" s="239"/>
      <c r="D41" s="240"/>
      <c r="E41" s="280"/>
      <c r="F41" s="281"/>
      <c r="G41" s="281"/>
      <c r="H41" s="281"/>
      <c r="I41" s="282"/>
      <c r="J41" s="319"/>
      <c r="K41" s="317"/>
      <c r="L41" s="317"/>
      <c r="M41" s="317"/>
      <c r="N41" s="317"/>
      <c r="O41" s="318"/>
      <c r="P41" s="319"/>
      <c r="Q41" s="317"/>
      <c r="R41" s="317"/>
      <c r="S41" s="317"/>
      <c r="T41" s="317"/>
      <c r="U41" s="318"/>
      <c r="V41" s="308"/>
      <c r="W41" s="309"/>
      <c r="X41" s="309"/>
      <c r="Y41" s="309"/>
      <c r="Z41" s="309"/>
      <c r="AA41" s="310"/>
      <c r="AB41" s="291"/>
      <c r="AC41" s="288"/>
      <c r="AD41" s="286"/>
      <c r="AE41" s="286"/>
      <c r="AF41" s="286"/>
      <c r="AG41" s="287"/>
      <c r="AH41" s="299"/>
      <c r="AI41" s="300"/>
      <c r="AJ41" s="300"/>
      <c r="AK41" s="300"/>
      <c r="AL41" s="300"/>
      <c r="AM41" s="301"/>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x14ac:dyDescent="0.25">
      <c r="A42" s="70"/>
      <c r="B42" s="239"/>
      <c r="C42" s="239"/>
      <c r="D42" s="240"/>
      <c r="E42" s="280"/>
      <c r="F42" s="281"/>
      <c r="G42" s="281"/>
      <c r="H42" s="281"/>
      <c r="I42" s="282"/>
      <c r="J42" s="319" t="str">
        <f>IF(AND('Mapa final'!$J$45="Muy Baja",'Mapa final'!$N$45="Leve"),CONCATENATE("R",'Mapa final'!$A$45),"")</f>
        <v/>
      </c>
      <c r="K42" s="317"/>
      <c r="L42" s="317" t="str">
        <f>IF(AND('Mapa final'!$J$51="Muy Baja",'Mapa final'!$N$51="Leve"),CONCATENATE("R",'Mapa final'!$A$51),"")</f>
        <v/>
      </c>
      <c r="M42" s="317"/>
      <c r="N42" s="317" t="str">
        <f>IF(AND('Mapa final'!$J$57="Muy Baja",'Mapa final'!$N$57="Leve"),CONCATENATE("R",'Mapa final'!$A$57),"")</f>
        <v/>
      </c>
      <c r="O42" s="318"/>
      <c r="P42" s="319" t="str">
        <f>IF(AND('Mapa final'!$J$45="Muy Baja",'Mapa final'!$N$45="Menor"),CONCATENATE("R",'Mapa final'!$A$45),"")</f>
        <v/>
      </c>
      <c r="Q42" s="317"/>
      <c r="R42" s="317" t="str">
        <f>IF(AND('Mapa final'!$J$51="Muy Baja",'Mapa final'!$N$51="Menor"),CONCATENATE("R",'Mapa final'!$A$51),"")</f>
        <v/>
      </c>
      <c r="S42" s="317"/>
      <c r="T42" s="317" t="str">
        <f>IF(AND('Mapa final'!$J$57="Muy Baja",'Mapa final'!$N$57="Menor"),CONCATENATE("R",'Mapa final'!$A$57),"")</f>
        <v/>
      </c>
      <c r="U42" s="318"/>
      <c r="V42" s="308" t="str">
        <f>IF(AND('Mapa final'!$J$45="Muy Baja",'Mapa final'!$N$45="Moderado"),CONCATENATE("R",'Mapa final'!$A$45),"")</f>
        <v/>
      </c>
      <c r="W42" s="309"/>
      <c r="X42" s="309" t="str">
        <f>IF(AND('Mapa final'!$J$51="Muy Baja",'Mapa final'!$N$51="Moderado"),CONCATENATE("R",'Mapa final'!$A$51),"")</f>
        <v/>
      </c>
      <c r="Y42" s="309"/>
      <c r="Z42" s="309" t="str">
        <f>IF(AND('Mapa final'!$J$57="Muy Baja",'Mapa final'!$N$57="Moderado"),CONCATENATE("R",'Mapa final'!$A$57),"")</f>
        <v/>
      </c>
      <c r="AA42" s="310"/>
      <c r="AB42" s="291" t="str">
        <f>IF(AND('Mapa final'!$J$45="Muy Baja",'Mapa final'!$N$45="Mayor"),CONCATENATE("R",'Mapa final'!$A$45),"")</f>
        <v/>
      </c>
      <c r="AC42" s="288"/>
      <c r="AD42" s="286" t="str">
        <f>IF(AND('Mapa final'!$J$51="Muy Baja",'Mapa final'!$N$51="Mayor"),CONCATENATE("R",'Mapa final'!$A$51),"")</f>
        <v/>
      </c>
      <c r="AE42" s="286"/>
      <c r="AF42" s="286" t="str">
        <f>IF(AND('Mapa final'!$J$57="Muy Baja",'Mapa final'!$N$57="Mayor"),CONCATENATE("R",'Mapa final'!$A$57),"")</f>
        <v/>
      </c>
      <c r="AG42" s="287"/>
      <c r="AH42" s="299" t="str">
        <f>IF(AND('Mapa final'!$J$45="Muy Baja",'Mapa final'!$N$45="Catastrófico"),CONCATENATE("R",'Mapa final'!$A$45),"")</f>
        <v/>
      </c>
      <c r="AI42" s="300"/>
      <c r="AJ42" s="300" t="str">
        <f>IF(AND('Mapa final'!$J$51="Muy Baja",'Mapa final'!$N$51="Catastrófico"),CONCATENATE("R",'Mapa final'!$A$51),"")</f>
        <v/>
      </c>
      <c r="AK42" s="300"/>
      <c r="AL42" s="300" t="str">
        <f>IF(AND('Mapa final'!$J$57="Muy Baja",'Mapa final'!$N$57="Catastrófico"),CONCATENATE("R",'Mapa final'!$A$57),"")</f>
        <v/>
      </c>
      <c r="AM42" s="301"/>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x14ac:dyDescent="0.25">
      <c r="A43" s="70"/>
      <c r="B43" s="239"/>
      <c r="C43" s="239"/>
      <c r="D43" s="240"/>
      <c r="E43" s="280"/>
      <c r="F43" s="281"/>
      <c r="G43" s="281"/>
      <c r="H43" s="281"/>
      <c r="I43" s="282"/>
      <c r="J43" s="319"/>
      <c r="K43" s="317"/>
      <c r="L43" s="317"/>
      <c r="M43" s="317"/>
      <c r="N43" s="317"/>
      <c r="O43" s="318"/>
      <c r="P43" s="319"/>
      <c r="Q43" s="317"/>
      <c r="R43" s="317"/>
      <c r="S43" s="317"/>
      <c r="T43" s="317"/>
      <c r="U43" s="318"/>
      <c r="V43" s="308"/>
      <c r="W43" s="309"/>
      <c r="X43" s="309"/>
      <c r="Y43" s="309"/>
      <c r="Z43" s="309"/>
      <c r="AA43" s="310"/>
      <c r="AB43" s="291"/>
      <c r="AC43" s="288"/>
      <c r="AD43" s="286"/>
      <c r="AE43" s="286"/>
      <c r="AF43" s="286"/>
      <c r="AG43" s="287"/>
      <c r="AH43" s="299"/>
      <c r="AI43" s="300"/>
      <c r="AJ43" s="300"/>
      <c r="AK43" s="300"/>
      <c r="AL43" s="300"/>
      <c r="AM43" s="301"/>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x14ac:dyDescent="0.25">
      <c r="A44" s="70"/>
      <c r="B44" s="239"/>
      <c r="C44" s="239"/>
      <c r="D44" s="240"/>
      <c r="E44" s="280"/>
      <c r="F44" s="281"/>
      <c r="G44" s="281"/>
      <c r="H44" s="281"/>
      <c r="I44" s="282"/>
      <c r="J44" s="319" t="str">
        <f>IF(AND('Mapa final'!$J$63="Muy Baja",'Mapa final'!$N$63="Leve"),CONCATENATE("R",'Mapa final'!$A$63),"")</f>
        <v/>
      </c>
      <c r="K44" s="317"/>
      <c r="L44" s="317" t="str">
        <f>IF(AND('Mapa final'!$J$70="Muy Baja",'Mapa final'!$N$70="Leve"),CONCATENATE("R",'Mapa final'!$A$70),"")</f>
        <v/>
      </c>
      <c r="M44" s="317"/>
      <c r="N44" s="317" t="str">
        <f>IF(AND('Mapa final'!$J$76="Muy Baja",'Mapa final'!$N$76="Leve"),CONCATENATE("R",'Mapa final'!$A$76),"")</f>
        <v/>
      </c>
      <c r="O44" s="318"/>
      <c r="P44" s="319" t="str">
        <f>IF(AND('Mapa final'!$J$63="Muy Baja",'Mapa final'!$N$63="Menor"),CONCATENATE("R",'Mapa final'!$A$63),"")</f>
        <v/>
      </c>
      <c r="Q44" s="317"/>
      <c r="R44" s="317" t="str">
        <f>IF(AND('Mapa final'!$J$70="Muy Baja",'Mapa final'!$N$70="Menor"),CONCATENATE("R",'Mapa final'!$A$70),"")</f>
        <v/>
      </c>
      <c r="S44" s="317"/>
      <c r="T44" s="317" t="str">
        <f>IF(AND('Mapa final'!$J$76="Muy Baja",'Mapa final'!$N$76="Menor"),CONCATENATE("R",'Mapa final'!$A$76),"")</f>
        <v/>
      </c>
      <c r="U44" s="318"/>
      <c r="V44" s="308" t="str">
        <f>IF(AND('Mapa final'!$J$63="Muy Baja",'Mapa final'!$N$63="Moderado"),CONCATENATE("R",'Mapa final'!$A$63),"")</f>
        <v/>
      </c>
      <c r="W44" s="309"/>
      <c r="X44" s="309" t="str">
        <f>IF(AND('Mapa final'!$J$70="Muy Baja",'Mapa final'!$N$70="Moderado"),CONCATENATE("R",'Mapa final'!$A$70),"")</f>
        <v/>
      </c>
      <c r="Y44" s="309"/>
      <c r="Z44" s="309" t="str">
        <f>IF(AND('Mapa final'!$J$76="Muy Baja",'Mapa final'!$N$76="Moderado"),CONCATENATE("R",'Mapa final'!$A$76),"")</f>
        <v/>
      </c>
      <c r="AA44" s="310"/>
      <c r="AB44" s="291" t="str">
        <f>IF(AND('Mapa final'!$J$63="Muy Baja",'Mapa final'!$N$63="Mayor"),CONCATENATE("R",'Mapa final'!$A$63),"")</f>
        <v/>
      </c>
      <c r="AC44" s="288"/>
      <c r="AD44" s="286" t="str">
        <f>IF(AND('Mapa final'!$J$70="Muy Baja",'Mapa final'!$N$70="Mayor"),CONCATENATE("R",'Mapa final'!$A$70),"")</f>
        <v/>
      </c>
      <c r="AE44" s="286"/>
      <c r="AF44" s="286" t="str">
        <f>IF(AND('Mapa final'!$J$76="Muy Baja",'Mapa final'!$N$76="Mayor"),CONCATENATE("R",'Mapa final'!$A$76),"")</f>
        <v/>
      </c>
      <c r="AG44" s="287"/>
      <c r="AH44" s="299" t="str">
        <f>IF(AND('Mapa final'!$J$63="Muy Baja",'Mapa final'!$N$63="Catastrófico"),CONCATENATE("R",'Mapa final'!$A$63),"")</f>
        <v/>
      </c>
      <c r="AI44" s="300"/>
      <c r="AJ44" s="300" t="str">
        <f>IF(AND('Mapa final'!$J$70="Muy Baja",'Mapa final'!$N$70="Catastrófico"),CONCATENATE("R",'Mapa final'!$A$70),"")</f>
        <v/>
      </c>
      <c r="AK44" s="300"/>
      <c r="AL44" s="300" t="str">
        <f>IF(AND('Mapa final'!$J$76="Muy Baja",'Mapa final'!$N$76="Catastrófico"),CONCATENATE("R",'Mapa final'!$A$76),"")</f>
        <v/>
      </c>
      <c r="AM44" s="301"/>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thickBot="1" x14ac:dyDescent="0.3">
      <c r="A45" s="70"/>
      <c r="B45" s="239"/>
      <c r="C45" s="239"/>
      <c r="D45" s="240"/>
      <c r="E45" s="283"/>
      <c r="F45" s="284"/>
      <c r="G45" s="284"/>
      <c r="H45" s="284"/>
      <c r="I45" s="285"/>
      <c r="J45" s="320"/>
      <c r="K45" s="321"/>
      <c r="L45" s="321"/>
      <c r="M45" s="321"/>
      <c r="N45" s="321"/>
      <c r="O45" s="322"/>
      <c r="P45" s="320"/>
      <c r="Q45" s="321"/>
      <c r="R45" s="321"/>
      <c r="S45" s="321"/>
      <c r="T45" s="321"/>
      <c r="U45" s="322"/>
      <c r="V45" s="311"/>
      <c r="W45" s="312"/>
      <c r="X45" s="312"/>
      <c r="Y45" s="312"/>
      <c r="Z45" s="312"/>
      <c r="AA45" s="313"/>
      <c r="AB45" s="296"/>
      <c r="AC45" s="297"/>
      <c r="AD45" s="297"/>
      <c r="AE45" s="297"/>
      <c r="AF45" s="297"/>
      <c r="AG45" s="298"/>
      <c r="AH45" s="302"/>
      <c r="AI45" s="303"/>
      <c r="AJ45" s="303"/>
      <c r="AK45" s="303"/>
      <c r="AL45" s="303"/>
      <c r="AM45" s="304"/>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77" t="s">
        <v>108</v>
      </c>
      <c r="K46" s="278"/>
      <c r="L46" s="278"/>
      <c r="M46" s="278"/>
      <c r="N46" s="278"/>
      <c r="O46" s="279"/>
      <c r="P46" s="277" t="s">
        <v>107</v>
      </c>
      <c r="Q46" s="278"/>
      <c r="R46" s="278"/>
      <c r="S46" s="278"/>
      <c r="T46" s="278"/>
      <c r="U46" s="279"/>
      <c r="V46" s="277" t="s">
        <v>106</v>
      </c>
      <c r="W46" s="278"/>
      <c r="X46" s="278"/>
      <c r="Y46" s="278"/>
      <c r="Z46" s="278"/>
      <c r="AA46" s="279"/>
      <c r="AB46" s="277" t="s">
        <v>105</v>
      </c>
      <c r="AC46" s="295"/>
      <c r="AD46" s="278"/>
      <c r="AE46" s="278"/>
      <c r="AF46" s="278"/>
      <c r="AG46" s="279"/>
      <c r="AH46" s="277" t="s">
        <v>104</v>
      </c>
      <c r="AI46" s="278"/>
      <c r="AJ46" s="278"/>
      <c r="AK46" s="278"/>
      <c r="AL46" s="278"/>
      <c r="AM46" s="279"/>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80"/>
      <c r="K47" s="281"/>
      <c r="L47" s="281"/>
      <c r="M47" s="281"/>
      <c r="N47" s="281"/>
      <c r="O47" s="282"/>
      <c r="P47" s="280"/>
      <c r="Q47" s="281"/>
      <c r="R47" s="281"/>
      <c r="S47" s="281"/>
      <c r="T47" s="281"/>
      <c r="U47" s="282"/>
      <c r="V47" s="280"/>
      <c r="W47" s="281"/>
      <c r="X47" s="281"/>
      <c r="Y47" s="281"/>
      <c r="Z47" s="281"/>
      <c r="AA47" s="282"/>
      <c r="AB47" s="280"/>
      <c r="AC47" s="281"/>
      <c r="AD47" s="281"/>
      <c r="AE47" s="281"/>
      <c r="AF47" s="281"/>
      <c r="AG47" s="282"/>
      <c r="AH47" s="280"/>
      <c r="AI47" s="281"/>
      <c r="AJ47" s="281"/>
      <c r="AK47" s="281"/>
      <c r="AL47" s="281"/>
      <c r="AM47" s="282"/>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80"/>
      <c r="K48" s="281"/>
      <c r="L48" s="281"/>
      <c r="M48" s="281"/>
      <c r="N48" s="281"/>
      <c r="O48" s="282"/>
      <c r="P48" s="280"/>
      <c r="Q48" s="281"/>
      <c r="R48" s="281"/>
      <c r="S48" s="281"/>
      <c r="T48" s="281"/>
      <c r="U48" s="282"/>
      <c r="V48" s="280"/>
      <c r="W48" s="281"/>
      <c r="X48" s="281"/>
      <c r="Y48" s="281"/>
      <c r="Z48" s="281"/>
      <c r="AA48" s="282"/>
      <c r="AB48" s="280"/>
      <c r="AC48" s="281"/>
      <c r="AD48" s="281"/>
      <c r="AE48" s="281"/>
      <c r="AF48" s="281"/>
      <c r="AG48" s="282"/>
      <c r="AH48" s="280"/>
      <c r="AI48" s="281"/>
      <c r="AJ48" s="281"/>
      <c r="AK48" s="281"/>
      <c r="AL48" s="281"/>
      <c r="AM48" s="282"/>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80"/>
      <c r="K49" s="281"/>
      <c r="L49" s="281"/>
      <c r="M49" s="281"/>
      <c r="N49" s="281"/>
      <c r="O49" s="282"/>
      <c r="P49" s="280"/>
      <c r="Q49" s="281"/>
      <c r="R49" s="281"/>
      <c r="S49" s="281"/>
      <c r="T49" s="281"/>
      <c r="U49" s="282"/>
      <c r="V49" s="280"/>
      <c r="W49" s="281"/>
      <c r="X49" s="281"/>
      <c r="Y49" s="281"/>
      <c r="Z49" s="281"/>
      <c r="AA49" s="282"/>
      <c r="AB49" s="280"/>
      <c r="AC49" s="281"/>
      <c r="AD49" s="281"/>
      <c r="AE49" s="281"/>
      <c r="AF49" s="281"/>
      <c r="AG49" s="282"/>
      <c r="AH49" s="280"/>
      <c r="AI49" s="281"/>
      <c r="AJ49" s="281"/>
      <c r="AK49" s="281"/>
      <c r="AL49" s="281"/>
      <c r="AM49" s="282"/>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80"/>
      <c r="K50" s="281"/>
      <c r="L50" s="281"/>
      <c r="M50" s="281"/>
      <c r="N50" s="281"/>
      <c r="O50" s="282"/>
      <c r="P50" s="280"/>
      <c r="Q50" s="281"/>
      <c r="R50" s="281"/>
      <c r="S50" s="281"/>
      <c r="T50" s="281"/>
      <c r="U50" s="282"/>
      <c r="V50" s="280"/>
      <c r="W50" s="281"/>
      <c r="X50" s="281"/>
      <c r="Y50" s="281"/>
      <c r="Z50" s="281"/>
      <c r="AA50" s="282"/>
      <c r="AB50" s="280"/>
      <c r="AC50" s="281"/>
      <c r="AD50" s="281"/>
      <c r="AE50" s="281"/>
      <c r="AF50" s="281"/>
      <c r="AG50" s="282"/>
      <c r="AH50" s="280"/>
      <c r="AI50" s="281"/>
      <c r="AJ50" s="281"/>
      <c r="AK50" s="281"/>
      <c r="AL50" s="281"/>
      <c r="AM50" s="282"/>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83"/>
      <c r="K51" s="284"/>
      <c r="L51" s="284"/>
      <c r="M51" s="284"/>
      <c r="N51" s="284"/>
      <c r="O51" s="285"/>
      <c r="P51" s="283"/>
      <c r="Q51" s="284"/>
      <c r="R51" s="284"/>
      <c r="S51" s="284"/>
      <c r="T51" s="284"/>
      <c r="U51" s="285"/>
      <c r="V51" s="283"/>
      <c r="W51" s="284"/>
      <c r="X51" s="284"/>
      <c r="Y51" s="284"/>
      <c r="Z51" s="284"/>
      <c r="AA51" s="285"/>
      <c r="AB51" s="283"/>
      <c r="AC51" s="284"/>
      <c r="AD51" s="284"/>
      <c r="AE51" s="284"/>
      <c r="AF51" s="284"/>
      <c r="AG51" s="285"/>
      <c r="AH51" s="283"/>
      <c r="AI51" s="284"/>
      <c r="AJ51" s="284"/>
      <c r="AK51" s="284"/>
      <c r="AL51" s="284"/>
      <c r="AM51" s="285"/>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M248"/>
  <sheetViews>
    <sheetView topLeftCell="A10" zoomScale="40" zoomScaleNormal="40" workbookViewId="0">
      <selection activeCell="M46" sqref="M4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53" t="s">
        <v>153</v>
      </c>
      <c r="C2" s="354"/>
      <c r="D2" s="354"/>
      <c r="E2" s="354"/>
      <c r="F2" s="354"/>
      <c r="G2" s="354"/>
      <c r="H2" s="354"/>
      <c r="I2" s="354"/>
      <c r="J2" s="293" t="s">
        <v>2</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54"/>
      <c r="C3" s="354"/>
      <c r="D3" s="354"/>
      <c r="E3" s="354"/>
      <c r="F3" s="354"/>
      <c r="G3" s="354"/>
      <c r="H3" s="354"/>
      <c r="I3" s="354"/>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54"/>
      <c r="C4" s="354"/>
      <c r="D4" s="354"/>
      <c r="E4" s="354"/>
      <c r="F4" s="354"/>
      <c r="G4" s="354"/>
      <c r="H4" s="354"/>
      <c r="I4" s="354"/>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39" t="s">
        <v>3</v>
      </c>
      <c r="C6" s="239"/>
      <c r="D6" s="240"/>
      <c r="E6" s="336" t="s">
        <v>112</v>
      </c>
      <c r="F6" s="337"/>
      <c r="G6" s="337"/>
      <c r="H6" s="337"/>
      <c r="I6" s="355"/>
      <c r="J6" s="32" t="str">
        <f>IF(AND('Mapa final'!$AA$9="Muy Alta",'Mapa final'!$AC$9="Leve"),CONCATENATE("R1C",'Mapa final'!$Q$9),"")</f>
        <v/>
      </c>
      <c r="K6" s="33" t="str">
        <f>IF(AND('Mapa final'!$AA$10="Muy Alta",'Mapa final'!$AC$10="Leve"),CONCATENATE("R1C",'Mapa final'!$Q$10),"")</f>
        <v/>
      </c>
      <c r="L6" s="33" t="str">
        <f>IF(AND('Mapa final'!$AA$11="Muy Alta",'Mapa final'!$AC$11="Leve"),CONCATENATE("R1C",'Mapa final'!$Q$11),"")</f>
        <v/>
      </c>
      <c r="M6" s="33" t="str">
        <f>IF(AND('Mapa final'!$AA$12="Muy Alta",'Mapa final'!$AC$12="Leve"),CONCATENATE("R1C",'Mapa final'!$Q$12),"")</f>
        <v/>
      </c>
      <c r="N6" s="33" t="str">
        <f>IF(AND('Mapa final'!$AA$13="Muy Alta",'Mapa final'!$AC$13="Leve"),CONCATENATE("R1C",'Mapa final'!$Q$13),"")</f>
        <v/>
      </c>
      <c r="O6" s="34" t="str">
        <f>IF(AND('Mapa final'!$AA$14="Muy Alta",'Mapa final'!$AC$14="Leve"),CONCATENATE("R1C",'Mapa final'!$Q$14),"")</f>
        <v/>
      </c>
      <c r="P6" s="32" t="str">
        <f>IF(AND('Mapa final'!$AA$9="Muy Alta",'Mapa final'!$AC$9="Menor"),CONCATENATE("R1C",'Mapa final'!$Q$9),"")</f>
        <v/>
      </c>
      <c r="Q6" s="33" t="str">
        <f>IF(AND('Mapa final'!$AA$10="Muy Alta",'Mapa final'!$AC$10="Menor"),CONCATENATE("R1C",'Mapa final'!$Q$10),"")</f>
        <v/>
      </c>
      <c r="R6" s="33" t="str">
        <f>IF(AND('Mapa final'!$AA$11="Muy Alta",'Mapa final'!$AC$11="Menor"),CONCATENATE("R1C",'Mapa final'!$Q$11),"")</f>
        <v/>
      </c>
      <c r="S6" s="33" t="str">
        <f>IF(AND('Mapa final'!$AA$12="Muy Alta",'Mapa final'!$AC$12="Menor"),CONCATENATE("R1C",'Mapa final'!$Q$12),"")</f>
        <v/>
      </c>
      <c r="T6" s="33" t="str">
        <f>IF(AND('Mapa final'!$AA$13="Muy Alta",'Mapa final'!$AC$13="Menor"),CONCATENATE("R1C",'Mapa final'!$Q$13),"")</f>
        <v/>
      </c>
      <c r="U6" s="34" t="str">
        <f>IF(AND('Mapa final'!$AA$14="Muy Alta",'Mapa final'!$AC$14="Menor"),CONCATENATE("R1C",'Mapa final'!$Q$14),"")</f>
        <v/>
      </c>
      <c r="V6" s="32" t="str">
        <f>IF(AND('Mapa final'!$AA$9="Muy Alta",'Mapa final'!$AC$9="Moderado"),CONCATENATE("R1C",'Mapa final'!$Q$9),"")</f>
        <v/>
      </c>
      <c r="W6" s="33" t="str">
        <f>IF(AND('Mapa final'!$AA$10="Muy Alta",'Mapa final'!$AC$10="Moderado"),CONCATENATE("R1C",'Mapa final'!$Q$10),"")</f>
        <v/>
      </c>
      <c r="X6" s="33" t="str">
        <f>IF(AND('Mapa final'!$AA$11="Muy Alta",'Mapa final'!$AC$11="Moderado"),CONCATENATE("R1C",'Mapa final'!$Q$11),"")</f>
        <v/>
      </c>
      <c r="Y6" s="33" t="str">
        <f>IF(AND('Mapa final'!$AA$12="Muy Alta",'Mapa final'!$AC$12="Moderado"),CONCATENATE("R1C",'Mapa final'!$Q$12),"")</f>
        <v/>
      </c>
      <c r="Z6" s="33" t="str">
        <f>IF(AND('Mapa final'!$AA$13="Muy Alta",'Mapa final'!$AC$13="Moderado"),CONCATENATE("R1C",'Mapa final'!$Q$13),"")</f>
        <v/>
      </c>
      <c r="AA6" s="34" t="str">
        <f>IF(AND('Mapa final'!$AA$14="Muy Alta",'Mapa final'!$AC$14="Moderado"),CONCATENATE("R1C",'Mapa final'!$Q$14),"")</f>
        <v/>
      </c>
      <c r="AB6" s="32" t="str">
        <f>IF(AND('Mapa final'!$AA$9="Muy Alta",'Mapa final'!$AC$9="Mayor"),CONCATENATE("R1C",'Mapa final'!$Q$9),"")</f>
        <v/>
      </c>
      <c r="AC6" s="33" t="str">
        <f>IF(AND('Mapa final'!$AA$10="Muy Alta",'Mapa final'!$AC$10="Mayor"),CONCATENATE("R1C",'Mapa final'!$Q$10),"")</f>
        <v/>
      </c>
      <c r="AD6" s="33" t="str">
        <f>IF(AND('Mapa final'!$AA$11="Muy Alta",'Mapa final'!$AC$11="Mayor"),CONCATENATE("R1C",'Mapa final'!$Q$11),"")</f>
        <v/>
      </c>
      <c r="AE6" s="33" t="str">
        <f>IF(AND('Mapa final'!$AA$12="Muy Alta",'Mapa final'!$AC$12="Mayor"),CONCATENATE("R1C",'Mapa final'!$Q$12),"")</f>
        <v/>
      </c>
      <c r="AF6" s="33" t="str">
        <f>IF(AND('Mapa final'!$AA$13="Muy Alta",'Mapa final'!$AC$13="Mayor"),CONCATENATE("R1C",'Mapa final'!$Q$13),"")</f>
        <v/>
      </c>
      <c r="AG6" s="34" t="str">
        <f>IF(AND('Mapa final'!$AA$14="Muy Alta",'Mapa final'!$AC$14="Mayor"),CONCATENATE("R1C",'Mapa final'!$Q$14),"")</f>
        <v/>
      </c>
      <c r="AH6" s="35" t="str">
        <f>IF(AND('Mapa final'!$AA$9="Muy Alta",'Mapa final'!$AC$9="Catastrófico"),CONCATENATE("R1C",'Mapa final'!$Q$9),"")</f>
        <v/>
      </c>
      <c r="AI6" s="36" t="str">
        <f>IF(AND('Mapa final'!$AA$10="Muy Alta",'Mapa final'!$AC$10="Catastrófico"),CONCATENATE("R1C",'Mapa final'!$Q$10),"")</f>
        <v/>
      </c>
      <c r="AJ6" s="36" t="str">
        <f>IF(AND('Mapa final'!$AA$11="Muy Alta",'Mapa final'!$AC$11="Catastrófico"),CONCATENATE("R1C",'Mapa final'!$Q$11),"")</f>
        <v/>
      </c>
      <c r="AK6" s="36" t="str">
        <f>IF(AND('Mapa final'!$AA$12="Muy Alta",'Mapa final'!$AC$12="Catastrófico"),CONCATENATE("R1C",'Mapa final'!$Q$12),"")</f>
        <v/>
      </c>
      <c r="AL6" s="36" t="str">
        <f>IF(AND('Mapa final'!$AA$13="Muy Alta",'Mapa final'!$AC$13="Catastrófico"),CONCATENATE("R1C",'Mapa final'!$Q$13),"")</f>
        <v/>
      </c>
      <c r="AM6" s="37" t="str">
        <f>IF(AND('Mapa final'!$AA$14="Muy Alta",'Mapa final'!$AC$14="Catastrófico"),CONCATENATE("R1C",'Mapa final'!$Q$14),"")</f>
        <v/>
      </c>
      <c r="AN6" s="70"/>
      <c r="AO6" s="344" t="s">
        <v>75</v>
      </c>
      <c r="AP6" s="345"/>
      <c r="AQ6" s="345"/>
      <c r="AR6" s="345"/>
      <c r="AS6" s="345"/>
      <c r="AT6" s="346"/>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39"/>
      <c r="C7" s="239"/>
      <c r="D7" s="240"/>
      <c r="E7" s="340"/>
      <c r="F7" s="341"/>
      <c r="G7" s="341"/>
      <c r="H7" s="341"/>
      <c r="I7" s="356"/>
      <c r="J7" s="38" t="str">
        <f>IF(AND('Mapa final'!$AA$15="Muy Alta",'Mapa final'!$AC$15="Leve"),CONCATENATE("R2C",'Mapa final'!$Q$15),"")</f>
        <v/>
      </c>
      <c r="K7" s="39" t="str">
        <f>IF(AND('Mapa final'!$AA$16="Muy Alta",'Mapa final'!$AC$16="Leve"),CONCATENATE("R2C",'Mapa final'!$Q$16),"")</f>
        <v/>
      </c>
      <c r="L7" s="39" t="str">
        <f>IF(AND('Mapa final'!$AA$17="Muy Alta",'Mapa final'!$AC$17="Leve"),CONCATENATE("R2C",'Mapa final'!$Q$17),"")</f>
        <v/>
      </c>
      <c r="M7" s="39" t="str">
        <f>IF(AND('Mapa final'!$AA$18="Muy Alta",'Mapa final'!$AC$18="Leve"),CONCATENATE("R2C",'Mapa final'!$Q$18),"")</f>
        <v/>
      </c>
      <c r="N7" s="39" t="str">
        <f>IF(AND('Mapa final'!$AA$19="Muy Alta",'Mapa final'!$AC$19="Leve"),CONCATENATE("R2C",'Mapa final'!$Q$19),"")</f>
        <v/>
      </c>
      <c r="O7" s="40" t="str">
        <f>IF(AND('Mapa final'!$AA$20="Muy Alta",'Mapa final'!$AC$20="Leve"),CONCATENATE("R2C",'Mapa final'!$Q$20),"")</f>
        <v/>
      </c>
      <c r="P7" s="38" t="str">
        <f>IF(AND('Mapa final'!$AA$15="Muy Alta",'Mapa final'!$AC$15="Menor"),CONCATENATE("R2C",'Mapa final'!$Q$15),"")</f>
        <v/>
      </c>
      <c r="Q7" s="39" t="str">
        <f>IF(AND('Mapa final'!$AA$16="Muy Alta",'Mapa final'!$AC$16="Menor"),CONCATENATE("R2C",'Mapa final'!$Q$16),"")</f>
        <v/>
      </c>
      <c r="R7" s="39" t="str">
        <f>IF(AND('Mapa final'!$AA$17="Muy Alta",'Mapa final'!$AC$17="Menor"),CONCATENATE("R2C",'Mapa final'!$Q$17),"")</f>
        <v/>
      </c>
      <c r="S7" s="39" t="str">
        <f>IF(AND('Mapa final'!$AA$18="Muy Alta",'Mapa final'!$AC$18="Menor"),CONCATENATE("R2C",'Mapa final'!$Q$18),"")</f>
        <v/>
      </c>
      <c r="T7" s="39" t="str">
        <f>IF(AND('Mapa final'!$AA$19="Muy Alta",'Mapa final'!$AC$19="Menor"),CONCATENATE("R2C",'Mapa final'!$Q$19),"")</f>
        <v/>
      </c>
      <c r="U7" s="40" t="str">
        <f>IF(AND('Mapa final'!$AA$20="Muy Alta",'Mapa final'!$AC$20="Menor"),CONCATENATE("R2C",'Mapa final'!$Q$20),"")</f>
        <v/>
      </c>
      <c r="V7" s="38" t="str">
        <f>IF(AND('Mapa final'!$AA$15="Muy Alta",'Mapa final'!$AC$15="Moderado"),CONCATENATE("R2C",'Mapa final'!$Q$15),"")</f>
        <v/>
      </c>
      <c r="W7" s="39" t="str">
        <f>IF(AND('Mapa final'!$AA$16="Muy Alta",'Mapa final'!$AC$16="Moderado"),CONCATENATE("R2C",'Mapa final'!$Q$16),"")</f>
        <v/>
      </c>
      <c r="X7" s="39" t="str">
        <f>IF(AND('Mapa final'!$AA$17="Muy Alta",'Mapa final'!$AC$17="Moderado"),CONCATENATE("R2C",'Mapa final'!$Q$17),"")</f>
        <v/>
      </c>
      <c r="Y7" s="39" t="str">
        <f>IF(AND('Mapa final'!$AA$18="Muy Alta",'Mapa final'!$AC$18="Moderado"),CONCATENATE("R2C",'Mapa final'!$Q$18),"")</f>
        <v/>
      </c>
      <c r="Z7" s="39" t="str">
        <f>IF(AND('Mapa final'!$AA$19="Muy Alta",'Mapa final'!$AC$19="Moderado"),CONCATENATE("R2C",'Mapa final'!$Q$19),"")</f>
        <v/>
      </c>
      <c r="AA7" s="40" t="str">
        <f>IF(AND('Mapa final'!$AA$20="Muy Alta",'Mapa final'!$AC$20="Moderado"),CONCATENATE("R2C",'Mapa final'!$Q$20),"")</f>
        <v/>
      </c>
      <c r="AB7" s="38" t="str">
        <f>IF(AND('Mapa final'!$AA$15="Muy Alta",'Mapa final'!$AC$15="Mayor"),CONCATENATE("R2C",'Mapa final'!$Q$15),"")</f>
        <v/>
      </c>
      <c r="AC7" s="39" t="str">
        <f>IF(AND('Mapa final'!$AA$16="Muy Alta",'Mapa final'!$AC$16="Mayor"),CONCATENATE("R2C",'Mapa final'!$Q$16),"")</f>
        <v/>
      </c>
      <c r="AD7" s="39" t="str">
        <f>IF(AND('Mapa final'!$AA$17="Muy Alta",'Mapa final'!$AC$17="Mayor"),CONCATENATE("R2C",'Mapa final'!$Q$17),"")</f>
        <v/>
      </c>
      <c r="AE7" s="39" t="str">
        <f>IF(AND('Mapa final'!$AA$18="Muy Alta",'Mapa final'!$AC$18="Mayor"),CONCATENATE("R2C",'Mapa final'!$Q$18),"")</f>
        <v/>
      </c>
      <c r="AF7" s="39" t="str">
        <f>IF(AND('Mapa final'!$AA$19="Muy Alta",'Mapa final'!$AC$19="Mayor"),CONCATENATE("R2C",'Mapa final'!$Q$19),"")</f>
        <v/>
      </c>
      <c r="AG7" s="40" t="str">
        <f>IF(AND('Mapa final'!$AA$20="Muy Alta",'Mapa final'!$AC$20="Mayor"),CONCATENATE("R2C",'Mapa final'!$Q$20),"")</f>
        <v/>
      </c>
      <c r="AH7" s="41" t="str">
        <f>IF(AND('Mapa final'!$AA$15="Muy Alta",'Mapa final'!$AC$15="Catastrófico"),CONCATENATE("R2C",'Mapa final'!$Q$15),"")</f>
        <v/>
      </c>
      <c r="AI7" s="42" t="str">
        <f>IF(AND('Mapa final'!$AA$16="Muy Alta",'Mapa final'!$AC$16="Catastrófico"),CONCATENATE("R2C",'Mapa final'!$Q$16),"")</f>
        <v/>
      </c>
      <c r="AJ7" s="42" t="str">
        <f>IF(AND('Mapa final'!$AA$17="Muy Alta",'Mapa final'!$AC$17="Catastrófico"),CONCATENATE("R2C",'Mapa final'!$Q$17),"")</f>
        <v/>
      </c>
      <c r="AK7" s="42" t="str">
        <f>IF(AND('Mapa final'!$AA$18="Muy Alta",'Mapa final'!$AC$18="Catastrófico"),CONCATENATE("R2C",'Mapa final'!$Q$18),"")</f>
        <v/>
      </c>
      <c r="AL7" s="42" t="str">
        <f>IF(AND('Mapa final'!$AA$19="Muy Alta",'Mapa final'!$AC$19="Catastrófico"),CONCATENATE("R2C",'Mapa final'!$Q$19),"")</f>
        <v/>
      </c>
      <c r="AM7" s="43" t="str">
        <f>IF(AND('Mapa final'!$AA$20="Muy Alta",'Mapa final'!$AC$20="Catastrófico"),CONCATENATE("R2C",'Mapa final'!$Q$20),"")</f>
        <v/>
      </c>
      <c r="AN7" s="70"/>
      <c r="AO7" s="347"/>
      <c r="AP7" s="348"/>
      <c r="AQ7" s="348"/>
      <c r="AR7" s="348"/>
      <c r="AS7" s="348"/>
      <c r="AT7" s="349"/>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39"/>
      <c r="C8" s="239"/>
      <c r="D8" s="240"/>
      <c r="E8" s="340"/>
      <c r="F8" s="341"/>
      <c r="G8" s="341"/>
      <c r="H8" s="341"/>
      <c r="I8" s="356"/>
      <c r="J8" s="38" t="str">
        <f>IF(AND('Mapa final'!$AA$21="Muy Alta",'Mapa final'!$AC$21="Leve"),CONCATENATE("R3C",'Mapa final'!$Q$21),"")</f>
        <v/>
      </c>
      <c r="K8" s="39" t="str">
        <f>IF(AND('Mapa final'!$AA$22="Muy Alta",'Mapa final'!$AC$22="Leve"),CONCATENATE("R3C",'Mapa final'!$Q$22),"")</f>
        <v/>
      </c>
      <c r="L8" s="39" t="str">
        <f>IF(AND('Mapa final'!$AA$23="Muy Alta",'Mapa final'!$AC$23="Leve"),CONCATENATE("R3C",'Mapa final'!$Q$23),"")</f>
        <v/>
      </c>
      <c r="M8" s="39" t="str">
        <f>IF(AND('Mapa final'!$AA$24="Muy Alta",'Mapa final'!$AC$24="Leve"),CONCATENATE("R3C",'Mapa final'!$Q$24),"")</f>
        <v/>
      </c>
      <c r="N8" s="39" t="str">
        <f>IF(AND('Mapa final'!$AA$25="Muy Alta",'Mapa final'!$AC$25="Leve"),CONCATENATE("R3C",'Mapa final'!$Q$25),"")</f>
        <v/>
      </c>
      <c r="O8" s="40" t="str">
        <f>IF(AND('Mapa final'!$AA$26="Muy Alta",'Mapa final'!$AC$26="Leve"),CONCATENATE("R3C",'Mapa final'!$Q$26),"")</f>
        <v/>
      </c>
      <c r="P8" s="38" t="str">
        <f>IF(AND('Mapa final'!$AA$21="Muy Alta",'Mapa final'!$AC$21="Menor"),CONCATENATE("R3C",'Mapa final'!$Q$21),"")</f>
        <v/>
      </c>
      <c r="Q8" s="39" t="str">
        <f>IF(AND('Mapa final'!$AA$22="Muy Alta",'Mapa final'!$AC$22="Menor"),CONCATENATE("R3C",'Mapa final'!$Q$22),"")</f>
        <v/>
      </c>
      <c r="R8" s="39" t="str">
        <f>IF(AND('Mapa final'!$AA$23="Muy Alta",'Mapa final'!$AC$23="Menor"),CONCATENATE("R3C",'Mapa final'!$Q$23),"")</f>
        <v/>
      </c>
      <c r="S8" s="39" t="str">
        <f>IF(AND('Mapa final'!$AA$24="Muy Alta",'Mapa final'!$AC$24="Menor"),CONCATENATE("R3C",'Mapa final'!$Q$24),"")</f>
        <v/>
      </c>
      <c r="T8" s="39" t="str">
        <f>IF(AND('Mapa final'!$AA$25="Muy Alta",'Mapa final'!$AC$25="Menor"),CONCATENATE("R3C",'Mapa final'!$Q$25),"")</f>
        <v/>
      </c>
      <c r="U8" s="40" t="str">
        <f>IF(AND('Mapa final'!$AA$26="Muy Alta",'Mapa final'!$AC$26="Menor"),CONCATENATE("R3C",'Mapa final'!$Q$26),"")</f>
        <v/>
      </c>
      <c r="V8" s="38" t="str">
        <f>IF(AND('Mapa final'!$AA$21="Muy Alta",'Mapa final'!$AC$21="Moderado"),CONCATENATE("R3C",'Mapa final'!$Q$21),"")</f>
        <v/>
      </c>
      <c r="W8" s="39" t="str">
        <f>IF(AND('Mapa final'!$AA$22="Muy Alta",'Mapa final'!$AC$22="Moderado"),CONCATENATE("R3C",'Mapa final'!$Q$22),"")</f>
        <v/>
      </c>
      <c r="X8" s="39" t="str">
        <f>IF(AND('Mapa final'!$AA$23="Muy Alta",'Mapa final'!$AC$23="Moderado"),CONCATENATE("R3C",'Mapa final'!$Q$23),"")</f>
        <v/>
      </c>
      <c r="Y8" s="39" t="str">
        <f>IF(AND('Mapa final'!$AA$24="Muy Alta",'Mapa final'!$AC$24="Moderado"),CONCATENATE("R3C",'Mapa final'!$Q$24),"")</f>
        <v/>
      </c>
      <c r="Z8" s="39" t="str">
        <f>IF(AND('Mapa final'!$AA$25="Muy Alta",'Mapa final'!$AC$25="Moderado"),CONCATENATE("R3C",'Mapa final'!$Q$25),"")</f>
        <v/>
      </c>
      <c r="AA8" s="40" t="str">
        <f>IF(AND('Mapa final'!$AA$26="Muy Alta",'Mapa final'!$AC$26="Moderado"),CONCATENATE("R3C",'Mapa final'!$Q$26),"")</f>
        <v/>
      </c>
      <c r="AB8" s="38" t="str">
        <f>IF(AND('Mapa final'!$AA$21="Muy Alta",'Mapa final'!$AC$21="Mayor"),CONCATENATE("R3C",'Mapa final'!$Q$21),"")</f>
        <v/>
      </c>
      <c r="AC8" s="39" t="str">
        <f>IF(AND('Mapa final'!$AA$22="Muy Alta",'Mapa final'!$AC$22="Mayor"),CONCATENATE("R3C",'Mapa final'!$Q$22),"")</f>
        <v/>
      </c>
      <c r="AD8" s="39" t="str">
        <f>IF(AND('Mapa final'!$AA$23="Muy Alta",'Mapa final'!$AC$23="Mayor"),CONCATENATE("R3C",'Mapa final'!$Q$23),"")</f>
        <v/>
      </c>
      <c r="AE8" s="39" t="str">
        <f>IF(AND('Mapa final'!$AA$24="Muy Alta",'Mapa final'!$AC$24="Mayor"),CONCATENATE("R3C",'Mapa final'!$Q$24),"")</f>
        <v/>
      </c>
      <c r="AF8" s="39" t="str">
        <f>IF(AND('Mapa final'!$AA$25="Muy Alta",'Mapa final'!$AC$25="Mayor"),CONCATENATE("R3C",'Mapa final'!$Q$25),"")</f>
        <v/>
      </c>
      <c r="AG8" s="40" t="str">
        <f>IF(AND('Mapa final'!$AA$26="Muy Alta",'Mapa final'!$AC$26="Mayor"),CONCATENATE("R3C",'Mapa final'!$Q$26),"")</f>
        <v/>
      </c>
      <c r="AH8" s="41" t="str">
        <f>IF(AND('Mapa final'!$AA$21="Muy Alta",'Mapa final'!$AC$21="Catastrófico"),CONCATENATE("R3C",'Mapa final'!$Q$21),"")</f>
        <v/>
      </c>
      <c r="AI8" s="42" t="str">
        <f>IF(AND('Mapa final'!$AA$22="Muy Alta",'Mapa final'!$AC$22="Catastrófico"),CONCATENATE("R3C",'Mapa final'!$Q$22),"")</f>
        <v/>
      </c>
      <c r="AJ8" s="42" t="str">
        <f>IF(AND('Mapa final'!$AA$23="Muy Alta",'Mapa final'!$AC$23="Catastrófico"),CONCATENATE("R3C",'Mapa final'!$Q$23),"")</f>
        <v/>
      </c>
      <c r="AK8" s="42" t="str">
        <f>IF(AND('Mapa final'!$AA$24="Muy Alta",'Mapa final'!$AC$24="Catastrófico"),CONCATENATE("R3C",'Mapa final'!$Q$24),"")</f>
        <v/>
      </c>
      <c r="AL8" s="42" t="str">
        <f>IF(AND('Mapa final'!$AA$25="Muy Alta",'Mapa final'!$AC$25="Catastrófico"),CONCATENATE("R3C",'Mapa final'!$Q$25),"")</f>
        <v/>
      </c>
      <c r="AM8" s="43" t="str">
        <f>IF(AND('Mapa final'!$AA$26="Muy Alta",'Mapa final'!$AC$26="Catastrófico"),CONCATENATE("R3C",'Mapa final'!$Q$26),"")</f>
        <v/>
      </c>
      <c r="AN8" s="70"/>
      <c r="AO8" s="347"/>
      <c r="AP8" s="348"/>
      <c r="AQ8" s="348"/>
      <c r="AR8" s="348"/>
      <c r="AS8" s="348"/>
      <c r="AT8" s="349"/>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39"/>
      <c r="C9" s="239"/>
      <c r="D9" s="240"/>
      <c r="E9" s="340"/>
      <c r="F9" s="341"/>
      <c r="G9" s="341"/>
      <c r="H9" s="341"/>
      <c r="I9" s="356"/>
      <c r="J9" s="38" t="str">
        <f>IF(AND('Mapa final'!$AA$27="Muy Alta",'Mapa final'!$AC$27="Leve"),CONCATENATE("R4C",'Mapa final'!$Q$27),"")</f>
        <v/>
      </c>
      <c r="K9" s="39" t="str">
        <f>IF(AND('Mapa final'!$AA$28="Muy Alta",'Mapa final'!$AC$28="Leve"),CONCATENATE("R4C",'Mapa final'!$Q$28),"")</f>
        <v/>
      </c>
      <c r="L9" s="44" t="str">
        <f>IF(AND('Mapa final'!$AA$29="Muy Alta",'Mapa final'!$AC$29="Leve"),CONCATENATE("R4C",'Mapa final'!$Q$29),"")</f>
        <v/>
      </c>
      <c r="M9" s="44" t="str">
        <f>IF(AND('Mapa final'!$AA$30="Muy Alta",'Mapa final'!$AC$30="Leve"),CONCATENATE("R4C",'Mapa final'!$Q$30),"")</f>
        <v/>
      </c>
      <c r="N9" s="44" t="str">
        <f>IF(AND('Mapa final'!$AA$31="Muy Alta",'Mapa final'!$AC$31="Leve"),CONCATENATE("R4C",'Mapa final'!$Q$31),"")</f>
        <v/>
      </c>
      <c r="O9" s="40" t="str">
        <f>IF(AND('Mapa final'!$AA$32="Muy Alta",'Mapa final'!$AC$32="Leve"),CONCATENATE("R4C",'Mapa final'!$Q$32),"")</f>
        <v/>
      </c>
      <c r="P9" s="38" t="str">
        <f>IF(AND('Mapa final'!$AA$27="Muy Alta",'Mapa final'!$AC$27="Menor"),CONCATENATE("R4C",'Mapa final'!$Q$27),"")</f>
        <v/>
      </c>
      <c r="Q9" s="39" t="str">
        <f>IF(AND('Mapa final'!$AA$28="Muy Alta",'Mapa final'!$AC$28="Menor"),CONCATENATE("R4C",'Mapa final'!$Q$28),"")</f>
        <v/>
      </c>
      <c r="R9" s="44" t="str">
        <f>IF(AND('Mapa final'!$AA$29="Muy Alta",'Mapa final'!$AC$29="Menor"),CONCATENATE("R4C",'Mapa final'!$Q$29),"")</f>
        <v/>
      </c>
      <c r="S9" s="44" t="str">
        <f>IF(AND('Mapa final'!$AA$30="Muy Alta",'Mapa final'!$AC$30="Menor"),CONCATENATE("R4C",'Mapa final'!$Q$30),"")</f>
        <v/>
      </c>
      <c r="T9" s="44" t="str">
        <f>IF(AND('Mapa final'!$AA$31="Muy Alta",'Mapa final'!$AC$31="Menor"),CONCATENATE("R4C",'Mapa final'!$Q$31),"")</f>
        <v/>
      </c>
      <c r="U9" s="40" t="str">
        <f>IF(AND('Mapa final'!$AA$32="Muy Alta",'Mapa final'!$AC$32="Menor"),CONCATENATE("R4C",'Mapa final'!$Q$32),"")</f>
        <v/>
      </c>
      <c r="V9" s="38" t="str">
        <f>IF(AND('Mapa final'!$AA$27="Muy Alta",'Mapa final'!$AC$27="Moderado"),CONCATENATE("R4C",'Mapa final'!$Q$27),"")</f>
        <v/>
      </c>
      <c r="W9" s="39" t="str">
        <f>IF(AND('Mapa final'!$AA$28="Muy Alta",'Mapa final'!$AC$28="Moderado"),CONCATENATE("R4C",'Mapa final'!$Q$28),"")</f>
        <v/>
      </c>
      <c r="X9" s="44" t="str">
        <f>IF(AND('Mapa final'!$AA$29="Muy Alta",'Mapa final'!$AC$29="Moderado"),CONCATENATE("R4C",'Mapa final'!$Q$29),"")</f>
        <v/>
      </c>
      <c r="Y9" s="44" t="str">
        <f>IF(AND('Mapa final'!$AA$30="Muy Alta",'Mapa final'!$AC$30="Moderado"),CONCATENATE("R4C",'Mapa final'!$Q$30),"")</f>
        <v/>
      </c>
      <c r="Z9" s="44" t="str">
        <f>IF(AND('Mapa final'!$AA$31="Muy Alta",'Mapa final'!$AC$31="Moderado"),CONCATENATE("R4C",'Mapa final'!$Q$31),"")</f>
        <v/>
      </c>
      <c r="AA9" s="40" t="str">
        <f>IF(AND('Mapa final'!$AA$32="Muy Alta",'Mapa final'!$AC$32="Moderado"),CONCATENATE("R4C",'Mapa final'!$Q$32),"")</f>
        <v/>
      </c>
      <c r="AB9" s="38" t="str">
        <f>IF(AND('Mapa final'!$AA$27="Muy Alta",'Mapa final'!$AC$27="Mayor"),CONCATENATE("R4C",'Mapa final'!$Q$27),"")</f>
        <v/>
      </c>
      <c r="AC9" s="39" t="str">
        <f>IF(AND('Mapa final'!$AA$28="Muy Alta",'Mapa final'!$AC$28="Mayor"),CONCATENATE("R4C",'Mapa final'!$Q$28),"")</f>
        <v/>
      </c>
      <c r="AD9" s="44" t="str">
        <f>IF(AND('Mapa final'!$AA$29="Muy Alta",'Mapa final'!$AC$29="Mayor"),CONCATENATE("R4C",'Mapa final'!$Q$29),"")</f>
        <v/>
      </c>
      <c r="AE9" s="44" t="str">
        <f>IF(AND('Mapa final'!$AA$30="Muy Alta",'Mapa final'!$AC$30="Mayor"),CONCATENATE("R4C",'Mapa final'!$Q$30),"")</f>
        <v/>
      </c>
      <c r="AF9" s="44" t="str">
        <f>IF(AND('Mapa final'!$AA$31="Muy Alta",'Mapa final'!$AC$31="Mayor"),CONCATENATE("R4C",'Mapa final'!$Q$31),"")</f>
        <v/>
      </c>
      <c r="AG9" s="40" t="str">
        <f>IF(AND('Mapa final'!$AA$32="Muy Alta",'Mapa final'!$AC$32="Mayor"),CONCATENATE("R4C",'Mapa final'!$Q$32),"")</f>
        <v/>
      </c>
      <c r="AH9" s="41" t="str">
        <f>IF(AND('Mapa final'!$AA$27="Muy Alta",'Mapa final'!$AC$27="Catastrófico"),CONCATENATE("R4C",'Mapa final'!$Q$27),"")</f>
        <v/>
      </c>
      <c r="AI9" s="42" t="str">
        <f>IF(AND('Mapa final'!$AA$28="Muy Alta",'Mapa final'!$AC$28="Catastrófico"),CONCATENATE("R4C",'Mapa final'!$Q$28),"")</f>
        <v/>
      </c>
      <c r="AJ9" s="42" t="str">
        <f>IF(AND('Mapa final'!$AA$29="Muy Alta",'Mapa final'!$AC$29="Catastrófico"),CONCATENATE("R4C",'Mapa final'!$Q$29),"")</f>
        <v/>
      </c>
      <c r="AK9" s="42" t="str">
        <f>IF(AND('Mapa final'!$AA$30="Muy Alta",'Mapa final'!$AC$30="Catastrófico"),CONCATENATE("R4C",'Mapa final'!$Q$30),"")</f>
        <v/>
      </c>
      <c r="AL9" s="42" t="str">
        <f>IF(AND('Mapa final'!$AA$31="Muy Alta",'Mapa final'!$AC$31="Catastrófico"),CONCATENATE("R4C",'Mapa final'!$Q$31),"")</f>
        <v/>
      </c>
      <c r="AM9" s="43" t="str">
        <f>IF(AND('Mapa final'!$AA$32="Muy Alta",'Mapa final'!$AC$32="Catastrófico"),CONCATENATE("R4C",'Mapa final'!$Q$32),"")</f>
        <v/>
      </c>
      <c r="AN9" s="70"/>
      <c r="AO9" s="347"/>
      <c r="AP9" s="348"/>
      <c r="AQ9" s="348"/>
      <c r="AR9" s="348"/>
      <c r="AS9" s="348"/>
      <c r="AT9" s="349"/>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39"/>
      <c r="C10" s="239"/>
      <c r="D10" s="240"/>
      <c r="E10" s="340"/>
      <c r="F10" s="341"/>
      <c r="G10" s="341"/>
      <c r="H10" s="341"/>
      <c r="I10" s="356"/>
      <c r="J10" s="38" t="str">
        <f>IF(AND('Mapa final'!$AA$33="Muy Alta",'Mapa final'!$AC$33="Leve"),CONCATENATE("R5C",'Mapa final'!$Q$33),"")</f>
        <v/>
      </c>
      <c r="K10" s="39" t="str">
        <f>IF(AND('Mapa final'!$AA$34="Muy Alta",'Mapa final'!$AC$34="Leve"),CONCATENATE("R5C",'Mapa final'!$Q$34),"")</f>
        <v/>
      </c>
      <c r="L10" s="44" t="str">
        <f>IF(AND('Mapa final'!$AA$35="Muy Alta",'Mapa final'!$AC$35="Leve"),CONCATENATE("R5C",'Mapa final'!$Q$35),"")</f>
        <v/>
      </c>
      <c r="M10" s="44" t="str">
        <f>IF(AND('Mapa final'!$AA$36="Muy Alta",'Mapa final'!$AC$36="Leve"),CONCATENATE("R5C",'Mapa final'!$Q$36),"")</f>
        <v/>
      </c>
      <c r="N10" s="44" t="str">
        <f>IF(AND('Mapa final'!$AA$37="Muy Alta",'Mapa final'!$AC$37="Leve"),CONCATENATE("R5C",'Mapa final'!$Q$37),"")</f>
        <v/>
      </c>
      <c r="O10" s="40" t="str">
        <f>IF(AND('Mapa final'!$AA$38="Muy Alta",'Mapa final'!$AC$38="Leve"),CONCATENATE("R5C",'Mapa final'!$Q$38),"")</f>
        <v/>
      </c>
      <c r="P10" s="38" t="str">
        <f>IF(AND('Mapa final'!$AA$33="Muy Alta",'Mapa final'!$AC$33="Menor"),CONCATENATE("R5C",'Mapa final'!$Q$33),"")</f>
        <v/>
      </c>
      <c r="Q10" s="39" t="str">
        <f>IF(AND('Mapa final'!$AA$34="Muy Alta",'Mapa final'!$AC$34="Menor"),CONCATENATE("R5C",'Mapa final'!$Q$34),"")</f>
        <v/>
      </c>
      <c r="R10" s="44" t="str">
        <f>IF(AND('Mapa final'!$AA$35="Muy Alta",'Mapa final'!$AC$35="Menor"),CONCATENATE("R5C",'Mapa final'!$Q$35),"")</f>
        <v/>
      </c>
      <c r="S10" s="44" t="str">
        <f>IF(AND('Mapa final'!$AA$36="Muy Alta",'Mapa final'!$AC$36="Menor"),CONCATENATE("R5C",'Mapa final'!$Q$36),"")</f>
        <v/>
      </c>
      <c r="T10" s="44" t="str">
        <f>IF(AND('Mapa final'!$AA$37="Muy Alta",'Mapa final'!$AC$37="Menor"),CONCATENATE("R5C",'Mapa final'!$Q$37),"")</f>
        <v/>
      </c>
      <c r="U10" s="40" t="str">
        <f>IF(AND('Mapa final'!$AA$38="Muy Alta",'Mapa final'!$AC$38="Menor"),CONCATENATE("R5C",'Mapa final'!$Q$38),"")</f>
        <v/>
      </c>
      <c r="V10" s="38" t="str">
        <f>IF(AND('Mapa final'!$AA$33="Muy Alta",'Mapa final'!$AC$33="Moderado"),CONCATENATE("R5C",'Mapa final'!$Q$33),"")</f>
        <v/>
      </c>
      <c r="W10" s="39" t="str">
        <f>IF(AND('Mapa final'!$AA$34="Muy Alta",'Mapa final'!$AC$34="Moderado"),CONCATENATE("R5C",'Mapa final'!$Q$34),"")</f>
        <v/>
      </c>
      <c r="X10" s="44" t="str">
        <f>IF(AND('Mapa final'!$AA$35="Muy Alta",'Mapa final'!$AC$35="Moderado"),CONCATENATE("R5C",'Mapa final'!$Q$35),"")</f>
        <v/>
      </c>
      <c r="Y10" s="44" t="str">
        <f>IF(AND('Mapa final'!$AA$36="Muy Alta",'Mapa final'!$AC$36="Moderado"),CONCATENATE("R5C",'Mapa final'!$Q$36),"")</f>
        <v/>
      </c>
      <c r="Z10" s="44" t="str">
        <f>IF(AND('Mapa final'!$AA$37="Muy Alta",'Mapa final'!$AC$37="Moderado"),CONCATENATE("R5C",'Mapa final'!$Q$37),"")</f>
        <v/>
      </c>
      <c r="AA10" s="40" t="str">
        <f>IF(AND('Mapa final'!$AA$38="Muy Alta",'Mapa final'!$AC$38="Moderado"),CONCATENATE("R5C",'Mapa final'!$Q$38),"")</f>
        <v/>
      </c>
      <c r="AB10" s="38" t="str">
        <f>IF(AND('Mapa final'!$AA$33="Muy Alta",'Mapa final'!$AC$33="Mayor"),CONCATENATE("R5C",'Mapa final'!$Q$33),"")</f>
        <v/>
      </c>
      <c r="AC10" s="39" t="str">
        <f>IF(AND('Mapa final'!$AA$34="Muy Alta",'Mapa final'!$AC$34="Mayor"),CONCATENATE("R5C",'Mapa final'!$Q$34),"")</f>
        <v/>
      </c>
      <c r="AD10" s="44" t="str">
        <f>IF(AND('Mapa final'!$AA$35="Muy Alta",'Mapa final'!$AC$35="Mayor"),CONCATENATE("R5C",'Mapa final'!$Q$35),"")</f>
        <v/>
      </c>
      <c r="AE10" s="44" t="str">
        <f>IF(AND('Mapa final'!$AA$36="Muy Alta",'Mapa final'!$AC$36="Mayor"),CONCATENATE("R5C",'Mapa final'!$Q$36),"")</f>
        <v/>
      </c>
      <c r="AF10" s="44" t="str">
        <f>IF(AND('Mapa final'!$AA$37="Muy Alta",'Mapa final'!$AC$37="Mayor"),CONCATENATE("R5C",'Mapa final'!$Q$37),"")</f>
        <v/>
      </c>
      <c r="AG10" s="40" t="str">
        <f>IF(AND('Mapa final'!$AA$38="Muy Alta",'Mapa final'!$AC$38="Mayor"),CONCATENATE("R5C",'Mapa final'!$Q$38),"")</f>
        <v/>
      </c>
      <c r="AH10" s="41" t="str">
        <f>IF(AND('Mapa final'!$AA$33="Muy Alta",'Mapa final'!$AC$33="Catastrófico"),CONCATENATE("R5C",'Mapa final'!$Q$33),"")</f>
        <v/>
      </c>
      <c r="AI10" s="42" t="str">
        <f>IF(AND('Mapa final'!$AA$34="Muy Alta",'Mapa final'!$AC$34="Catastrófico"),CONCATENATE("R5C",'Mapa final'!$Q$34),"")</f>
        <v/>
      </c>
      <c r="AJ10" s="42" t="str">
        <f>IF(AND('Mapa final'!$AA$35="Muy Alta",'Mapa final'!$AC$35="Catastrófico"),CONCATENATE("R5C",'Mapa final'!$Q$35),"")</f>
        <v/>
      </c>
      <c r="AK10" s="42" t="str">
        <f>IF(AND('Mapa final'!$AA$36="Muy Alta",'Mapa final'!$AC$36="Catastrófico"),CONCATENATE("R5C",'Mapa final'!$Q$36),"")</f>
        <v/>
      </c>
      <c r="AL10" s="42" t="str">
        <f>IF(AND('Mapa final'!$AA$37="Muy Alta",'Mapa final'!$AC$37="Catastrófico"),CONCATENATE("R5C",'Mapa final'!$Q$37),"")</f>
        <v/>
      </c>
      <c r="AM10" s="43" t="str">
        <f>IF(AND('Mapa final'!$AA$38="Muy Alta",'Mapa final'!$AC$38="Catastrófico"),CONCATENATE("R5C",'Mapa final'!$Q$38),"")</f>
        <v/>
      </c>
      <c r="AN10" s="70"/>
      <c r="AO10" s="347"/>
      <c r="AP10" s="348"/>
      <c r="AQ10" s="348"/>
      <c r="AR10" s="348"/>
      <c r="AS10" s="348"/>
      <c r="AT10" s="349"/>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39"/>
      <c r="C11" s="239"/>
      <c r="D11" s="240"/>
      <c r="E11" s="340"/>
      <c r="F11" s="341"/>
      <c r="G11" s="341"/>
      <c r="H11" s="341"/>
      <c r="I11" s="356"/>
      <c r="J11" s="38" t="str">
        <f>IF(AND('Mapa final'!$AA$39="Muy Alta",'Mapa final'!$AC$39="Leve"),CONCATENATE("R6C",'Mapa final'!$Q$39),"")</f>
        <v/>
      </c>
      <c r="K11" s="39" t="str">
        <f>IF(AND('Mapa final'!$AA$40="Muy Alta",'Mapa final'!$AC$40="Leve"),CONCATENATE("R6C",'Mapa final'!$Q$40),"")</f>
        <v/>
      </c>
      <c r="L11" s="44" t="str">
        <f>IF(AND('Mapa final'!$AA$41="Muy Alta",'Mapa final'!$AC$41="Leve"),CONCATENATE("R6C",'Mapa final'!$Q$41),"")</f>
        <v/>
      </c>
      <c r="M11" s="44" t="str">
        <f>IF(AND('Mapa final'!$AA$42="Muy Alta",'Mapa final'!$AC$42="Leve"),CONCATENATE("R6C",'Mapa final'!$Q$42),"")</f>
        <v/>
      </c>
      <c r="N11" s="44" t="str">
        <f>IF(AND('Mapa final'!$AA$43="Muy Alta",'Mapa final'!$AC$43="Leve"),CONCATENATE("R6C",'Mapa final'!$Q$43),"")</f>
        <v/>
      </c>
      <c r="O11" s="40" t="str">
        <f>IF(AND('Mapa final'!$AA$44="Muy Alta",'Mapa final'!$AC$44="Leve"),CONCATENATE("R6C",'Mapa final'!$Q$44),"")</f>
        <v/>
      </c>
      <c r="P11" s="38" t="str">
        <f>IF(AND('Mapa final'!$AA$39="Muy Alta",'Mapa final'!$AC$39="Menor"),CONCATENATE("R6C",'Mapa final'!$Q$39),"")</f>
        <v/>
      </c>
      <c r="Q11" s="39" t="str">
        <f>IF(AND('Mapa final'!$AA$40="Muy Alta",'Mapa final'!$AC$40="Menor"),CONCATENATE("R6C",'Mapa final'!$Q$40),"")</f>
        <v/>
      </c>
      <c r="R11" s="44" t="str">
        <f>IF(AND('Mapa final'!$AA$41="Muy Alta",'Mapa final'!$AC$41="Menor"),CONCATENATE("R6C",'Mapa final'!$Q$41),"")</f>
        <v/>
      </c>
      <c r="S11" s="44" t="str">
        <f>IF(AND('Mapa final'!$AA$42="Muy Alta",'Mapa final'!$AC$42="Menor"),CONCATENATE("R6C",'Mapa final'!$Q$42),"")</f>
        <v/>
      </c>
      <c r="T11" s="44" t="str">
        <f>IF(AND('Mapa final'!$AA$43="Muy Alta",'Mapa final'!$AC$43="Menor"),CONCATENATE("R6C",'Mapa final'!$Q$43),"")</f>
        <v/>
      </c>
      <c r="U11" s="40" t="str">
        <f>IF(AND('Mapa final'!$AA$44="Muy Alta",'Mapa final'!$AC$44="Menor"),CONCATENATE("R6C",'Mapa final'!$Q$44),"")</f>
        <v/>
      </c>
      <c r="V11" s="38" t="str">
        <f>IF(AND('Mapa final'!$AA$39="Muy Alta",'Mapa final'!$AC$39="Moderado"),CONCATENATE("R6C",'Mapa final'!$Q$39),"")</f>
        <v/>
      </c>
      <c r="W11" s="39" t="str">
        <f>IF(AND('Mapa final'!$AA$40="Muy Alta",'Mapa final'!$AC$40="Moderado"),CONCATENATE("R6C",'Mapa final'!$Q$40),"")</f>
        <v/>
      </c>
      <c r="X11" s="44" t="str">
        <f>IF(AND('Mapa final'!$AA$41="Muy Alta",'Mapa final'!$AC$41="Moderado"),CONCATENATE("R6C",'Mapa final'!$Q$41),"")</f>
        <v/>
      </c>
      <c r="Y11" s="44" t="str">
        <f>IF(AND('Mapa final'!$AA$42="Muy Alta",'Mapa final'!$AC$42="Moderado"),CONCATENATE("R6C",'Mapa final'!$Q$42),"")</f>
        <v/>
      </c>
      <c r="Z11" s="44" t="str">
        <f>IF(AND('Mapa final'!$AA$43="Muy Alta",'Mapa final'!$AC$43="Moderado"),CONCATENATE("R6C",'Mapa final'!$Q$43),"")</f>
        <v/>
      </c>
      <c r="AA11" s="40" t="str">
        <f>IF(AND('Mapa final'!$AA$44="Muy Alta",'Mapa final'!$AC$44="Moderado"),CONCATENATE("R6C",'Mapa final'!$Q$44),"")</f>
        <v/>
      </c>
      <c r="AB11" s="38" t="str">
        <f>IF(AND('Mapa final'!$AA$39="Muy Alta",'Mapa final'!$AC$39="Mayor"),CONCATENATE("R6C",'Mapa final'!$Q$39),"")</f>
        <v/>
      </c>
      <c r="AC11" s="39" t="str">
        <f>IF(AND('Mapa final'!$AA$40="Muy Alta",'Mapa final'!$AC$40="Mayor"),CONCATENATE("R6C",'Mapa final'!$Q$40),"")</f>
        <v/>
      </c>
      <c r="AD11" s="44" t="str">
        <f>IF(AND('Mapa final'!$AA$41="Muy Alta",'Mapa final'!$AC$41="Mayor"),CONCATENATE("R6C",'Mapa final'!$Q$41),"")</f>
        <v/>
      </c>
      <c r="AE11" s="44" t="str">
        <f>IF(AND('Mapa final'!$AA$42="Muy Alta",'Mapa final'!$AC$42="Mayor"),CONCATENATE("R6C",'Mapa final'!$Q$42),"")</f>
        <v/>
      </c>
      <c r="AF11" s="44" t="str">
        <f>IF(AND('Mapa final'!$AA$43="Muy Alta",'Mapa final'!$AC$43="Mayor"),CONCATENATE("R6C",'Mapa final'!$Q$43),"")</f>
        <v/>
      </c>
      <c r="AG11" s="40" t="str">
        <f>IF(AND('Mapa final'!$AA$44="Muy Alta",'Mapa final'!$AC$44="Mayor"),CONCATENATE("R6C",'Mapa final'!$Q$44),"")</f>
        <v/>
      </c>
      <c r="AH11" s="41" t="str">
        <f>IF(AND('Mapa final'!$AA$39="Muy Alta",'Mapa final'!$AC$39="Catastrófico"),CONCATENATE("R6C",'Mapa final'!$Q$39),"")</f>
        <v/>
      </c>
      <c r="AI11" s="42" t="str">
        <f>IF(AND('Mapa final'!$AA$40="Muy Alta",'Mapa final'!$AC$40="Catastrófico"),CONCATENATE("R6C",'Mapa final'!$Q$40),"")</f>
        <v/>
      </c>
      <c r="AJ11" s="42" t="str">
        <f>IF(AND('Mapa final'!$AA$41="Muy Alta",'Mapa final'!$AC$41="Catastrófico"),CONCATENATE("R6C",'Mapa final'!$Q$41),"")</f>
        <v/>
      </c>
      <c r="AK11" s="42" t="str">
        <f>IF(AND('Mapa final'!$AA$42="Muy Alta",'Mapa final'!$AC$42="Catastrófico"),CONCATENATE("R6C",'Mapa final'!$Q$42),"")</f>
        <v/>
      </c>
      <c r="AL11" s="42" t="str">
        <f>IF(AND('Mapa final'!$AA$43="Muy Alta",'Mapa final'!$AC$43="Catastrófico"),CONCATENATE("R6C",'Mapa final'!$Q$43),"")</f>
        <v/>
      </c>
      <c r="AM11" s="43" t="str">
        <f>IF(AND('Mapa final'!$AA$44="Muy Alta",'Mapa final'!$AC$44="Catastrófico"),CONCATENATE("R6C",'Mapa final'!$Q$44),"")</f>
        <v/>
      </c>
      <c r="AN11" s="70"/>
      <c r="AO11" s="347"/>
      <c r="AP11" s="348"/>
      <c r="AQ11" s="348"/>
      <c r="AR11" s="348"/>
      <c r="AS11" s="348"/>
      <c r="AT11" s="349"/>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39"/>
      <c r="C12" s="239"/>
      <c r="D12" s="240"/>
      <c r="E12" s="340"/>
      <c r="F12" s="341"/>
      <c r="G12" s="341"/>
      <c r="H12" s="341"/>
      <c r="I12" s="356"/>
      <c r="J12" s="38" t="str">
        <f>IF(AND('Mapa final'!$AA$45="Muy Alta",'Mapa final'!$AC$45="Leve"),CONCATENATE("R7C",'Mapa final'!$Q$45),"")</f>
        <v/>
      </c>
      <c r="K12" s="39" t="str">
        <f>IF(AND('Mapa final'!$AA$46="Muy Alta",'Mapa final'!$AC$46="Leve"),CONCATENATE("R7C",'Mapa final'!$Q$46),"")</f>
        <v/>
      </c>
      <c r="L12" s="44" t="str">
        <f>IF(AND('Mapa final'!$AA$47="Muy Alta",'Mapa final'!$AC$47="Leve"),CONCATENATE("R7C",'Mapa final'!$Q$47),"")</f>
        <v/>
      </c>
      <c r="M12" s="44" t="str">
        <f>IF(AND('Mapa final'!$AA$48="Muy Alta",'Mapa final'!$AC$48="Leve"),CONCATENATE("R7C",'Mapa final'!$Q$48),"")</f>
        <v/>
      </c>
      <c r="N12" s="44" t="str">
        <f>IF(AND('Mapa final'!$AA$49="Muy Alta",'Mapa final'!$AC$49="Leve"),CONCATENATE("R7C",'Mapa final'!$Q$49),"")</f>
        <v/>
      </c>
      <c r="O12" s="40" t="str">
        <f>IF(AND('Mapa final'!$AA$50="Muy Alta",'Mapa final'!$AC$50="Leve"),CONCATENATE("R7C",'Mapa final'!$Q$50),"")</f>
        <v/>
      </c>
      <c r="P12" s="38" t="str">
        <f>IF(AND('Mapa final'!$AA$45="Muy Alta",'Mapa final'!$AC$45="Menor"),CONCATENATE("R7C",'Mapa final'!$Q$45),"")</f>
        <v/>
      </c>
      <c r="Q12" s="39" t="str">
        <f>IF(AND('Mapa final'!$AA$46="Muy Alta",'Mapa final'!$AC$46="Menor"),CONCATENATE("R7C",'Mapa final'!$Q$46),"")</f>
        <v/>
      </c>
      <c r="R12" s="44" t="str">
        <f>IF(AND('Mapa final'!$AA$47="Muy Alta",'Mapa final'!$AC$47="Menor"),CONCATENATE("R7C",'Mapa final'!$Q$47),"")</f>
        <v/>
      </c>
      <c r="S12" s="44" t="str">
        <f>IF(AND('Mapa final'!$AA$48="Muy Alta",'Mapa final'!$AC$48="Menor"),CONCATENATE("R7C",'Mapa final'!$Q$48),"")</f>
        <v/>
      </c>
      <c r="T12" s="44" t="str">
        <f>IF(AND('Mapa final'!$AA$49="Muy Alta",'Mapa final'!$AC$49="Menor"),CONCATENATE("R7C",'Mapa final'!$Q$49),"")</f>
        <v/>
      </c>
      <c r="U12" s="40" t="str">
        <f>IF(AND('Mapa final'!$AA$50="Muy Alta",'Mapa final'!$AC$50="Menor"),CONCATENATE("R7C",'Mapa final'!$Q$50),"")</f>
        <v/>
      </c>
      <c r="V12" s="38" t="str">
        <f>IF(AND('Mapa final'!$AA$45="Muy Alta",'Mapa final'!$AC$45="Moderado"),CONCATENATE("R7C",'Mapa final'!$Q$45),"")</f>
        <v/>
      </c>
      <c r="W12" s="39" t="str">
        <f>IF(AND('Mapa final'!$AA$46="Muy Alta",'Mapa final'!$AC$46="Moderado"),CONCATENATE("R7C",'Mapa final'!$Q$46),"")</f>
        <v/>
      </c>
      <c r="X12" s="44" t="str">
        <f>IF(AND('Mapa final'!$AA$47="Muy Alta",'Mapa final'!$AC$47="Moderado"),CONCATENATE("R7C",'Mapa final'!$Q$47),"")</f>
        <v/>
      </c>
      <c r="Y12" s="44" t="str">
        <f>IF(AND('Mapa final'!$AA$48="Muy Alta",'Mapa final'!$AC$48="Moderado"),CONCATENATE("R7C",'Mapa final'!$Q$48),"")</f>
        <v/>
      </c>
      <c r="Z12" s="44" t="str">
        <f>IF(AND('Mapa final'!$AA$49="Muy Alta",'Mapa final'!$AC$49="Moderado"),CONCATENATE("R7C",'Mapa final'!$Q$49),"")</f>
        <v/>
      </c>
      <c r="AA12" s="40" t="str">
        <f>IF(AND('Mapa final'!$AA$50="Muy Alta",'Mapa final'!$AC$50="Moderado"),CONCATENATE("R7C",'Mapa final'!$Q$50),"")</f>
        <v/>
      </c>
      <c r="AB12" s="38" t="str">
        <f>IF(AND('Mapa final'!$AA$45="Muy Alta",'Mapa final'!$AC$45="Mayor"),CONCATENATE("R7C",'Mapa final'!$Q$45),"")</f>
        <v/>
      </c>
      <c r="AC12" s="39" t="str">
        <f>IF(AND('Mapa final'!$AA$46="Muy Alta",'Mapa final'!$AC$46="Mayor"),CONCATENATE("R7C",'Mapa final'!$Q$46),"")</f>
        <v/>
      </c>
      <c r="AD12" s="44" t="str">
        <f>IF(AND('Mapa final'!$AA$47="Muy Alta",'Mapa final'!$AC$47="Mayor"),CONCATENATE("R7C",'Mapa final'!$Q$47),"")</f>
        <v/>
      </c>
      <c r="AE12" s="44" t="str">
        <f>IF(AND('Mapa final'!$AA$48="Muy Alta",'Mapa final'!$AC$48="Mayor"),CONCATENATE("R7C",'Mapa final'!$Q$48),"")</f>
        <v/>
      </c>
      <c r="AF12" s="44" t="str">
        <f>IF(AND('Mapa final'!$AA$49="Muy Alta",'Mapa final'!$AC$49="Mayor"),CONCATENATE("R7C",'Mapa final'!$Q$49),"")</f>
        <v/>
      </c>
      <c r="AG12" s="40" t="str">
        <f>IF(AND('Mapa final'!$AA$50="Muy Alta",'Mapa final'!$AC$50="Mayor"),CONCATENATE("R7C",'Mapa final'!$Q$50),"")</f>
        <v/>
      </c>
      <c r="AH12" s="41" t="str">
        <f>IF(AND('Mapa final'!$AA$45="Muy Alta",'Mapa final'!$AC$45="Catastrófico"),CONCATENATE("R7C",'Mapa final'!$Q$45),"")</f>
        <v/>
      </c>
      <c r="AI12" s="42" t="str">
        <f>IF(AND('Mapa final'!$AA$46="Muy Alta",'Mapa final'!$AC$46="Catastrófico"),CONCATENATE("R7C",'Mapa final'!$Q$46),"")</f>
        <v/>
      </c>
      <c r="AJ12" s="42" t="str">
        <f>IF(AND('Mapa final'!$AA$47="Muy Alta",'Mapa final'!$AC$47="Catastrófico"),CONCATENATE("R7C",'Mapa final'!$Q$47),"")</f>
        <v/>
      </c>
      <c r="AK12" s="42" t="str">
        <f>IF(AND('Mapa final'!$AA$48="Muy Alta",'Mapa final'!$AC$48="Catastrófico"),CONCATENATE("R7C",'Mapa final'!$Q$48),"")</f>
        <v/>
      </c>
      <c r="AL12" s="42" t="str">
        <f>IF(AND('Mapa final'!$AA$49="Muy Alta",'Mapa final'!$AC$49="Catastrófico"),CONCATENATE("R7C",'Mapa final'!$Q$49),"")</f>
        <v/>
      </c>
      <c r="AM12" s="43" t="str">
        <f>IF(AND('Mapa final'!$AA$50="Muy Alta",'Mapa final'!$AC$50="Catastrófico"),CONCATENATE("R7C",'Mapa final'!$Q$50),"")</f>
        <v/>
      </c>
      <c r="AN12" s="70"/>
      <c r="AO12" s="347"/>
      <c r="AP12" s="348"/>
      <c r="AQ12" s="348"/>
      <c r="AR12" s="348"/>
      <c r="AS12" s="348"/>
      <c r="AT12" s="349"/>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39"/>
      <c r="C13" s="239"/>
      <c r="D13" s="240"/>
      <c r="E13" s="340"/>
      <c r="F13" s="341"/>
      <c r="G13" s="341"/>
      <c r="H13" s="341"/>
      <c r="I13" s="356"/>
      <c r="J13" s="38" t="str">
        <f>IF(AND('Mapa final'!$AA$51="Muy Alta",'Mapa final'!$AC$51="Leve"),CONCATENATE("R8C",'Mapa final'!$Q$51),"")</f>
        <v/>
      </c>
      <c r="K13" s="39" t="str">
        <f>IF(AND('Mapa final'!$AA$52="Muy Alta",'Mapa final'!$AC$52="Leve"),CONCATENATE("R8C",'Mapa final'!$Q$52),"")</f>
        <v/>
      </c>
      <c r="L13" s="44" t="str">
        <f>IF(AND('Mapa final'!$AA$53="Muy Alta",'Mapa final'!$AC$53="Leve"),CONCATENATE("R8C",'Mapa final'!$Q$53),"")</f>
        <v/>
      </c>
      <c r="M13" s="44" t="str">
        <f>IF(AND('Mapa final'!$AA$54="Muy Alta",'Mapa final'!$AC$54="Leve"),CONCATENATE("R8C",'Mapa final'!$Q$54),"")</f>
        <v/>
      </c>
      <c r="N13" s="44" t="str">
        <f>IF(AND('Mapa final'!$AA$55="Muy Alta",'Mapa final'!$AC$55="Leve"),CONCATENATE("R8C",'Mapa final'!$Q$55),"")</f>
        <v/>
      </c>
      <c r="O13" s="40" t="str">
        <f>IF(AND('Mapa final'!$AA$56="Muy Alta",'Mapa final'!$AC$56="Leve"),CONCATENATE("R8C",'Mapa final'!$Q$56),"")</f>
        <v/>
      </c>
      <c r="P13" s="38" t="str">
        <f>IF(AND('Mapa final'!$AA$51="Muy Alta",'Mapa final'!$AC$51="Menor"),CONCATENATE("R8C",'Mapa final'!$Q$51),"")</f>
        <v/>
      </c>
      <c r="Q13" s="39" t="str">
        <f>IF(AND('Mapa final'!$AA$52="Muy Alta",'Mapa final'!$AC$52="Menor"),CONCATENATE("R8C",'Mapa final'!$Q$52),"")</f>
        <v/>
      </c>
      <c r="R13" s="44" t="str">
        <f>IF(AND('Mapa final'!$AA$53="Muy Alta",'Mapa final'!$AC$53="Menor"),CONCATENATE("R8C",'Mapa final'!$Q$53),"")</f>
        <v/>
      </c>
      <c r="S13" s="44" t="str">
        <f>IF(AND('Mapa final'!$AA$54="Muy Alta",'Mapa final'!$AC$54="Menor"),CONCATENATE("R8C",'Mapa final'!$Q$54),"")</f>
        <v/>
      </c>
      <c r="T13" s="44" t="str">
        <f>IF(AND('Mapa final'!$AA$55="Muy Alta",'Mapa final'!$AC$55="Menor"),CONCATENATE("R8C",'Mapa final'!$Q$55),"")</f>
        <v/>
      </c>
      <c r="U13" s="40" t="str">
        <f>IF(AND('Mapa final'!$AA$56="Muy Alta",'Mapa final'!$AC$56="Menor"),CONCATENATE("R8C",'Mapa final'!$Q$56),"")</f>
        <v/>
      </c>
      <c r="V13" s="38" t="str">
        <f>IF(AND('Mapa final'!$AA$51="Muy Alta",'Mapa final'!$AC$51="Moderado"),CONCATENATE("R8C",'Mapa final'!$Q$51),"")</f>
        <v/>
      </c>
      <c r="W13" s="39" t="str">
        <f>IF(AND('Mapa final'!$AA$52="Muy Alta",'Mapa final'!$AC$52="Moderado"),CONCATENATE("R8C",'Mapa final'!$Q$52),"")</f>
        <v/>
      </c>
      <c r="X13" s="44" t="str">
        <f>IF(AND('Mapa final'!$AA$53="Muy Alta",'Mapa final'!$AC$53="Moderado"),CONCATENATE("R8C",'Mapa final'!$Q$53),"")</f>
        <v/>
      </c>
      <c r="Y13" s="44" t="str">
        <f>IF(AND('Mapa final'!$AA$54="Muy Alta",'Mapa final'!$AC$54="Moderado"),CONCATENATE("R8C",'Mapa final'!$Q$54),"")</f>
        <v/>
      </c>
      <c r="Z13" s="44" t="str">
        <f>IF(AND('Mapa final'!$AA$55="Muy Alta",'Mapa final'!$AC$55="Moderado"),CONCATENATE("R8C",'Mapa final'!$Q$55),"")</f>
        <v/>
      </c>
      <c r="AA13" s="40" t="str">
        <f>IF(AND('Mapa final'!$AA$56="Muy Alta",'Mapa final'!$AC$56="Moderado"),CONCATENATE("R8C",'Mapa final'!$Q$56),"")</f>
        <v/>
      </c>
      <c r="AB13" s="38" t="str">
        <f>IF(AND('Mapa final'!$AA$51="Muy Alta",'Mapa final'!$AC$51="Mayor"),CONCATENATE("R8C",'Mapa final'!$Q$51),"")</f>
        <v/>
      </c>
      <c r="AC13" s="39" t="str">
        <f>IF(AND('Mapa final'!$AA$52="Muy Alta",'Mapa final'!$AC$52="Mayor"),CONCATENATE("R8C",'Mapa final'!$Q$52),"")</f>
        <v/>
      </c>
      <c r="AD13" s="44" t="str">
        <f>IF(AND('Mapa final'!$AA$53="Muy Alta",'Mapa final'!$AC$53="Mayor"),CONCATENATE("R8C",'Mapa final'!$Q$53),"")</f>
        <v/>
      </c>
      <c r="AE13" s="44" t="str">
        <f>IF(AND('Mapa final'!$AA$54="Muy Alta",'Mapa final'!$AC$54="Mayor"),CONCATENATE("R8C",'Mapa final'!$Q$54),"")</f>
        <v/>
      </c>
      <c r="AF13" s="44" t="str">
        <f>IF(AND('Mapa final'!$AA$55="Muy Alta",'Mapa final'!$AC$55="Mayor"),CONCATENATE("R8C",'Mapa final'!$Q$55),"")</f>
        <v/>
      </c>
      <c r="AG13" s="40" t="str">
        <f>IF(AND('Mapa final'!$AA$56="Muy Alta",'Mapa final'!$AC$56="Mayor"),CONCATENATE("R8C",'Mapa final'!$Q$56),"")</f>
        <v/>
      </c>
      <c r="AH13" s="41" t="str">
        <f>IF(AND('Mapa final'!$AA$51="Muy Alta",'Mapa final'!$AC$51="Catastrófico"),CONCATENATE("R8C",'Mapa final'!$Q$51),"")</f>
        <v/>
      </c>
      <c r="AI13" s="42" t="str">
        <f>IF(AND('Mapa final'!$AA$52="Muy Alta",'Mapa final'!$AC$52="Catastrófico"),CONCATENATE("R8C",'Mapa final'!$Q$52),"")</f>
        <v/>
      </c>
      <c r="AJ13" s="42" t="str">
        <f>IF(AND('Mapa final'!$AA$53="Muy Alta",'Mapa final'!$AC$53="Catastrófico"),CONCATENATE("R8C",'Mapa final'!$Q$53),"")</f>
        <v/>
      </c>
      <c r="AK13" s="42" t="str">
        <f>IF(AND('Mapa final'!$AA$54="Muy Alta",'Mapa final'!$AC$54="Catastrófico"),CONCATENATE("R8C",'Mapa final'!$Q$54),"")</f>
        <v/>
      </c>
      <c r="AL13" s="42" t="str">
        <f>IF(AND('Mapa final'!$AA$55="Muy Alta",'Mapa final'!$AC$55="Catastrófico"),CONCATENATE("R8C",'Mapa final'!$Q$55),"")</f>
        <v/>
      </c>
      <c r="AM13" s="43" t="str">
        <f>IF(AND('Mapa final'!$AA$56="Muy Alta",'Mapa final'!$AC$56="Catastrófico"),CONCATENATE("R8C",'Mapa final'!$Q$56),"")</f>
        <v/>
      </c>
      <c r="AN13" s="70"/>
      <c r="AO13" s="347"/>
      <c r="AP13" s="348"/>
      <c r="AQ13" s="348"/>
      <c r="AR13" s="348"/>
      <c r="AS13" s="348"/>
      <c r="AT13" s="349"/>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39"/>
      <c r="C14" s="239"/>
      <c r="D14" s="240"/>
      <c r="E14" s="340"/>
      <c r="F14" s="341"/>
      <c r="G14" s="341"/>
      <c r="H14" s="341"/>
      <c r="I14" s="356"/>
      <c r="J14" s="38" t="str">
        <f>IF(AND('Mapa final'!$AA$57="Muy Alta",'Mapa final'!$AC$57="Leve"),CONCATENATE("R9C",'Mapa final'!$Q$57),"")</f>
        <v/>
      </c>
      <c r="K14" s="39" t="str">
        <f>IF(AND('Mapa final'!$AA$58="Muy Alta",'Mapa final'!$AC$58="Leve"),CONCATENATE("R9C",'Mapa final'!$Q$58),"")</f>
        <v/>
      </c>
      <c r="L14" s="44" t="str">
        <f>IF(AND('Mapa final'!$AA$59="Muy Alta",'Mapa final'!$AC$59="Leve"),CONCATENATE("R9C",'Mapa final'!$Q$59),"")</f>
        <v/>
      </c>
      <c r="M14" s="44" t="str">
        <f>IF(AND('Mapa final'!$AA$60="Muy Alta",'Mapa final'!$AC$60="Leve"),CONCATENATE("R9C",'Mapa final'!$Q$60),"")</f>
        <v/>
      </c>
      <c r="N14" s="44" t="str">
        <f>IF(AND('Mapa final'!$AA$61="Muy Alta",'Mapa final'!$AC$61="Leve"),CONCATENATE("R9C",'Mapa final'!$Q$61),"")</f>
        <v/>
      </c>
      <c r="O14" s="40" t="str">
        <f>IF(AND('Mapa final'!$AA$62="Muy Alta",'Mapa final'!$AC$62="Leve"),CONCATENATE("R9C",'Mapa final'!$Q$62),"")</f>
        <v/>
      </c>
      <c r="P14" s="38" t="str">
        <f>IF(AND('Mapa final'!$AA$57="Muy Alta",'Mapa final'!$AC$57="Menor"),CONCATENATE("R9C",'Mapa final'!$Q$57),"")</f>
        <v/>
      </c>
      <c r="Q14" s="39" t="str">
        <f>IF(AND('Mapa final'!$AA$58="Muy Alta",'Mapa final'!$AC$58="Menor"),CONCATENATE("R9C",'Mapa final'!$Q$58),"")</f>
        <v/>
      </c>
      <c r="R14" s="44" t="str">
        <f>IF(AND('Mapa final'!$AA$59="Muy Alta",'Mapa final'!$AC$59="Menor"),CONCATENATE("R9C",'Mapa final'!$Q$59),"")</f>
        <v/>
      </c>
      <c r="S14" s="44" t="str">
        <f>IF(AND('Mapa final'!$AA$60="Muy Alta",'Mapa final'!$AC$60="Menor"),CONCATENATE("R9C",'Mapa final'!$Q$60),"")</f>
        <v/>
      </c>
      <c r="T14" s="44" t="str">
        <f>IF(AND('Mapa final'!$AA$61="Muy Alta",'Mapa final'!$AC$61="Menor"),CONCATENATE("R9C",'Mapa final'!$Q$61),"")</f>
        <v/>
      </c>
      <c r="U14" s="40" t="str">
        <f>IF(AND('Mapa final'!$AA$62="Muy Alta",'Mapa final'!$AC$62="Menor"),CONCATENATE("R9C",'Mapa final'!$Q$62),"")</f>
        <v/>
      </c>
      <c r="V14" s="38" t="str">
        <f>IF(AND('Mapa final'!$AA$57="Muy Alta",'Mapa final'!$AC$57="Moderado"),CONCATENATE("R9C",'Mapa final'!$Q$57),"")</f>
        <v/>
      </c>
      <c r="W14" s="39" t="str">
        <f>IF(AND('Mapa final'!$AA$58="Muy Alta",'Mapa final'!$AC$58="Moderado"),CONCATENATE("R9C",'Mapa final'!$Q$58),"")</f>
        <v/>
      </c>
      <c r="X14" s="44" t="str">
        <f>IF(AND('Mapa final'!$AA$59="Muy Alta",'Mapa final'!$AC$59="Moderado"),CONCATENATE("R9C",'Mapa final'!$Q$59),"")</f>
        <v/>
      </c>
      <c r="Y14" s="44" t="str">
        <f>IF(AND('Mapa final'!$AA$60="Muy Alta",'Mapa final'!$AC$60="Moderado"),CONCATENATE("R9C",'Mapa final'!$Q$60),"")</f>
        <v/>
      </c>
      <c r="Z14" s="44" t="str">
        <f>IF(AND('Mapa final'!$AA$61="Muy Alta",'Mapa final'!$AC$61="Moderado"),CONCATENATE("R9C",'Mapa final'!$Q$61),"")</f>
        <v/>
      </c>
      <c r="AA14" s="40" t="str">
        <f>IF(AND('Mapa final'!$AA$62="Muy Alta",'Mapa final'!$AC$62="Moderado"),CONCATENATE("R9C",'Mapa final'!$Q$62),"")</f>
        <v/>
      </c>
      <c r="AB14" s="38" t="str">
        <f>IF(AND('Mapa final'!$AA$57="Muy Alta",'Mapa final'!$AC$57="Mayor"),CONCATENATE("R9C",'Mapa final'!$Q$57),"")</f>
        <v/>
      </c>
      <c r="AC14" s="39" t="str">
        <f>IF(AND('Mapa final'!$AA$58="Muy Alta",'Mapa final'!$AC$58="Mayor"),CONCATENATE("R9C",'Mapa final'!$Q$58),"")</f>
        <v/>
      </c>
      <c r="AD14" s="44" t="str">
        <f>IF(AND('Mapa final'!$AA$59="Muy Alta",'Mapa final'!$AC$59="Mayor"),CONCATENATE("R9C",'Mapa final'!$Q$59),"")</f>
        <v/>
      </c>
      <c r="AE14" s="44" t="str">
        <f>IF(AND('Mapa final'!$AA$60="Muy Alta",'Mapa final'!$AC$60="Mayor"),CONCATENATE("R9C",'Mapa final'!$Q$60),"")</f>
        <v/>
      </c>
      <c r="AF14" s="44" t="str">
        <f>IF(AND('Mapa final'!$AA$61="Muy Alta",'Mapa final'!$AC$61="Mayor"),CONCATENATE("R9C",'Mapa final'!$Q$61),"")</f>
        <v/>
      </c>
      <c r="AG14" s="40" t="str">
        <f>IF(AND('Mapa final'!$AA$62="Muy Alta",'Mapa final'!$AC$62="Mayor"),CONCATENATE("R9C",'Mapa final'!$Q$62),"")</f>
        <v/>
      </c>
      <c r="AH14" s="41" t="str">
        <f>IF(AND('Mapa final'!$AA$57="Muy Alta",'Mapa final'!$AC$57="Catastrófico"),CONCATENATE("R9C",'Mapa final'!$Q$57),"")</f>
        <v/>
      </c>
      <c r="AI14" s="42" t="str">
        <f>IF(AND('Mapa final'!$AA$58="Muy Alta",'Mapa final'!$AC$58="Catastrófico"),CONCATENATE("R9C",'Mapa final'!$Q$58),"")</f>
        <v/>
      </c>
      <c r="AJ14" s="42" t="str">
        <f>IF(AND('Mapa final'!$AA$59="Muy Alta",'Mapa final'!$AC$59="Catastrófico"),CONCATENATE("R9C",'Mapa final'!$Q$59),"")</f>
        <v/>
      </c>
      <c r="AK14" s="42" t="str">
        <f>IF(AND('Mapa final'!$AA$60="Muy Alta",'Mapa final'!$AC$60="Catastrófico"),CONCATENATE("R9C",'Mapa final'!$Q$60),"")</f>
        <v/>
      </c>
      <c r="AL14" s="42" t="str">
        <f>IF(AND('Mapa final'!$AA$61="Muy Alta",'Mapa final'!$AC$61="Catastrófico"),CONCATENATE("R9C",'Mapa final'!$Q$61),"")</f>
        <v/>
      </c>
      <c r="AM14" s="43" t="str">
        <f>IF(AND('Mapa final'!$AA$62="Muy Alta",'Mapa final'!$AC$62="Catastrófico"),CONCATENATE("R9C",'Mapa final'!$Q$62),"")</f>
        <v/>
      </c>
      <c r="AN14" s="70"/>
      <c r="AO14" s="347"/>
      <c r="AP14" s="348"/>
      <c r="AQ14" s="348"/>
      <c r="AR14" s="348"/>
      <c r="AS14" s="348"/>
      <c r="AT14" s="349"/>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39"/>
      <c r="C15" s="239"/>
      <c r="D15" s="240"/>
      <c r="E15" s="342"/>
      <c r="F15" s="343"/>
      <c r="G15" s="343"/>
      <c r="H15" s="343"/>
      <c r="I15" s="357"/>
      <c r="J15" s="45" t="str">
        <f>IF(AND('Mapa final'!$AA$63="Muy Alta",'Mapa final'!$AC$63="Leve"),CONCATENATE("R10C",'Mapa final'!$Q$63),"")</f>
        <v/>
      </c>
      <c r="K15" s="46" t="str">
        <f>IF(AND('Mapa final'!$AA$64="Muy Alta",'Mapa final'!$AC$64="Leve"),CONCATENATE("R10C",'Mapa final'!$Q$64),"")</f>
        <v/>
      </c>
      <c r="L15" s="46" t="str">
        <f>IF(AND('Mapa final'!$AA$65="Muy Alta",'Mapa final'!$AC$65="Leve"),CONCATENATE("R10C",'Mapa final'!$Q$65),"")</f>
        <v/>
      </c>
      <c r="M15" s="46" t="str">
        <f>IF(AND('Mapa final'!$AA$66="Muy Alta",'Mapa final'!$AC$66="Leve"),CONCATENATE("R10C",'Mapa final'!$Q$66),"")</f>
        <v/>
      </c>
      <c r="N15" s="46" t="str">
        <f>IF(AND('Mapa final'!$AA$67="Muy Alta",'Mapa final'!$AC$67="Leve"),CONCATENATE("R10C",'Mapa final'!$Q$67),"")</f>
        <v/>
      </c>
      <c r="O15" s="47" t="str">
        <f>IF(AND('Mapa final'!$AA$68="Muy Alta",'Mapa final'!$AC$68="Leve"),CONCATENATE("R10C",'Mapa final'!$Q$68),"")</f>
        <v/>
      </c>
      <c r="P15" s="38" t="str">
        <f>IF(AND('Mapa final'!$AA$63="Muy Alta",'Mapa final'!$AC$63="Menor"),CONCATENATE("R10C",'Mapa final'!$Q$63),"")</f>
        <v/>
      </c>
      <c r="Q15" s="39" t="str">
        <f>IF(AND('Mapa final'!$AA$64="Muy Alta",'Mapa final'!$AC$64="Menor"),CONCATENATE("R10C",'Mapa final'!$Q$64),"")</f>
        <v/>
      </c>
      <c r="R15" s="39" t="str">
        <f>IF(AND('Mapa final'!$AA$65="Muy Alta",'Mapa final'!$AC$65="Menor"),CONCATENATE("R10C",'Mapa final'!$Q$65),"")</f>
        <v/>
      </c>
      <c r="S15" s="39" t="str">
        <f>IF(AND('Mapa final'!$AA$66="Muy Alta",'Mapa final'!$AC$66="Menor"),CONCATENATE("R10C",'Mapa final'!$Q$66),"")</f>
        <v/>
      </c>
      <c r="T15" s="39" t="str">
        <f>IF(AND('Mapa final'!$AA$67="Muy Alta",'Mapa final'!$AC$67="Menor"),CONCATENATE("R10C",'Mapa final'!$Q$67),"")</f>
        <v/>
      </c>
      <c r="U15" s="40" t="str">
        <f>IF(AND('Mapa final'!$AA$68="Muy Alta",'Mapa final'!$AC$68="Menor"),CONCATENATE("R10C",'Mapa final'!$Q$68),"")</f>
        <v/>
      </c>
      <c r="V15" s="45" t="str">
        <f>IF(AND('Mapa final'!$AA$63="Muy Alta",'Mapa final'!$AC$63="Moderado"),CONCATENATE("R10C",'Mapa final'!$Q$63),"")</f>
        <v/>
      </c>
      <c r="W15" s="46" t="str">
        <f>IF(AND('Mapa final'!$AA$64="Muy Alta",'Mapa final'!$AC$64="Moderado"),CONCATENATE("R10C",'Mapa final'!$Q$64),"")</f>
        <v/>
      </c>
      <c r="X15" s="46" t="str">
        <f>IF(AND('Mapa final'!$AA$65="Muy Alta",'Mapa final'!$AC$65="Moderado"),CONCATENATE("R10C",'Mapa final'!$Q$65),"")</f>
        <v/>
      </c>
      <c r="Y15" s="46" t="str">
        <f>IF(AND('Mapa final'!$AA$66="Muy Alta",'Mapa final'!$AC$66="Moderado"),CONCATENATE("R10C",'Mapa final'!$Q$66),"")</f>
        <v/>
      </c>
      <c r="Z15" s="46" t="str">
        <f>IF(AND('Mapa final'!$AA$67="Muy Alta",'Mapa final'!$AC$67="Moderado"),CONCATENATE("R10C",'Mapa final'!$Q$67),"")</f>
        <v/>
      </c>
      <c r="AA15" s="47" t="str">
        <f>IF(AND('Mapa final'!$AA$68="Muy Alta",'Mapa final'!$AC$68="Moderado"),CONCATENATE("R10C",'Mapa final'!$Q$68),"")</f>
        <v/>
      </c>
      <c r="AB15" s="38" t="str">
        <f>IF(AND('Mapa final'!$AA$63="Muy Alta",'Mapa final'!$AC$63="Mayor"),CONCATENATE("R10C",'Mapa final'!$Q$63),"")</f>
        <v/>
      </c>
      <c r="AC15" s="39" t="str">
        <f>IF(AND('Mapa final'!$AA$64="Muy Alta",'Mapa final'!$AC$64="Mayor"),CONCATENATE("R10C",'Mapa final'!$Q$64),"")</f>
        <v/>
      </c>
      <c r="AD15" s="39" t="str">
        <f>IF(AND('Mapa final'!$AA$65="Muy Alta",'Mapa final'!$AC$65="Mayor"),CONCATENATE("R10C",'Mapa final'!$Q$65),"")</f>
        <v/>
      </c>
      <c r="AE15" s="39" t="str">
        <f>IF(AND('Mapa final'!$AA$66="Muy Alta",'Mapa final'!$AC$66="Mayor"),CONCATENATE("R10C",'Mapa final'!$Q$66),"")</f>
        <v/>
      </c>
      <c r="AF15" s="39" t="str">
        <f>IF(AND('Mapa final'!$AA$67="Muy Alta",'Mapa final'!$AC$67="Mayor"),CONCATENATE("R10C",'Mapa final'!$Q$67),"")</f>
        <v/>
      </c>
      <c r="AG15" s="40" t="str">
        <f>IF(AND('Mapa final'!$AA$68="Muy Alta",'Mapa final'!$AC$68="Mayor"),CONCATENATE("R10C",'Mapa final'!$Q$68),"")</f>
        <v/>
      </c>
      <c r="AH15" s="48" t="str">
        <f>IF(AND('Mapa final'!$AA$63="Muy Alta",'Mapa final'!$AC$63="Catastrófico"),CONCATENATE("R10C",'Mapa final'!$Q$63),"")</f>
        <v/>
      </c>
      <c r="AI15" s="49" t="str">
        <f>IF(AND('Mapa final'!$AA$64="Muy Alta",'Mapa final'!$AC$64="Catastrófico"),CONCATENATE("R10C",'Mapa final'!$Q$64),"")</f>
        <v/>
      </c>
      <c r="AJ15" s="49" t="str">
        <f>IF(AND('Mapa final'!$AA$65="Muy Alta",'Mapa final'!$AC$65="Catastrófico"),CONCATENATE("R10C",'Mapa final'!$Q$65),"")</f>
        <v/>
      </c>
      <c r="AK15" s="49" t="str">
        <f>IF(AND('Mapa final'!$AA$66="Muy Alta",'Mapa final'!$AC$66="Catastrófico"),CONCATENATE("R10C",'Mapa final'!$Q$66),"")</f>
        <v/>
      </c>
      <c r="AL15" s="49" t="str">
        <f>IF(AND('Mapa final'!$AA$67="Muy Alta",'Mapa final'!$AC$67="Catastrófico"),CONCATENATE("R10C",'Mapa final'!$Q$67),"")</f>
        <v/>
      </c>
      <c r="AM15" s="50" t="str">
        <f>IF(AND('Mapa final'!$AA$68="Muy Alta",'Mapa final'!$AC$68="Catastrófico"),CONCATENATE("R10C",'Mapa final'!$Q$68),"")</f>
        <v/>
      </c>
      <c r="AN15" s="70"/>
      <c r="AO15" s="350"/>
      <c r="AP15" s="351"/>
      <c r="AQ15" s="351"/>
      <c r="AR15" s="351"/>
      <c r="AS15" s="351"/>
      <c r="AT15" s="352"/>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39"/>
      <c r="C16" s="239"/>
      <c r="D16" s="240"/>
      <c r="E16" s="336" t="s">
        <v>111</v>
      </c>
      <c r="F16" s="337"/>
      <c r="G16" s="337"/>
      <c r="H16" s="337"/>
      <c r="I16" s="337"/>
      <c r="J16" s="51" t="str">
        <f>IF(AND('Mapa final'!$AA$9="Alta",'Mapa final'!$AC$9="Leve"),CONCATENATE("R1C",'Mapa final'!$Q$9),"")</f>
        <v/>
      </c>
      <c r="K16" s="52" t="str">
        <f>IF(AND('Mapa final'!$AA$10="Alta",'Mapa final'!$AC$10="Leve"),CONCATENATE("R1C",'Mapa final'!$Q$10),"")</f>
        <v/>
      </c>
      <c r="L16" s="52" t="str">
        <f>IF(AND('Mapa final'!$AA$11="Alta",'Mapa final'!$AC$11="Leve"),CONCATENATE("R1C",'Mapa final'!$Q$11),"")</f>
        <v/>
      </c>
      <c r="M16" s="52" t="str">
        <f>IF(AND('Mapa final'!$AA$12="Alta",'Mapa final'!$AC$12="Leve"),CONCATENATE("R1C",'Mapa final'!$Q$12),"")</f>
        <v/>
      </c>
      <c r="N16" s="52" t="str">
        <f>IF(AND('Mapa final'!$AA$13="Alta",'Mapa final'!$AC$13="Leve"),CONCATENATE("R1C",'Mapa final'!$Q$13),"")</f>
        <v/>
      </c>
      <c r="O16" s="53" t="str">
        <f>IF(AND('Mapa final'!$AA$14="Alta",'Mapa final'!$AC$14="Leve"),CONCATENATE("R1C",'Mapa final'!$Q$14),"")</f>
        <v/>
      </c>
      <c r="P16" s="51" t="str">
        <f>IF(AND('Mapa final'!$AA$9="Alta",'Mapa final'!$AC$9="Menor"),CONCATENATE("R1C",'Mapa final'!$Q$9),"")</f>
        <v/>
      </c>
      <c r="Q16" s="52" t="str">
        <f>IF(AND('Mapa final'!$AA$10="Alta",'Mapa final'!$AC$10="Menor"),CONCATENATE("R1C",'Mapa final'!$Q$10),"")</f>
        <v/>
      </c>
      <c r="R16" s="52" t="str">
        <f>IF(AND('Mapa final'!$AA$11="Alta",'Mapa final'!$AC$11="Menor"),CONCATENATE("R1C",'Mapa final'!$Q$11),"")</f>
        <v/>
      </c>
      <c r="S16" s="52" t="str">
        <f>IF(AND('Mapa final'!$AA$12="Alta",'Mapa final'!$AC$12="Menor"),CONCATENATE("R1C",'Mapa final'!$Q$12),"")</f>
        <v/>
      </c>
      <c r="T16" s="52" t="str">
        <f>IF(AND('Mapa final'!$AA$13="Alta",'Mapa final'!$AC$13="Menor"),CONCATENATE("R1C",'Mapa final'!$Q$13),"")</f>
        <v/>
      </c>
      <c r="U16" s="53" t="str">
        <f>IF(AND('Mapa final'!$AA$14="Alta",'Mapa final'!$AC$14="Menor"),CONCATENATE("R1C",'Mapa final'!$Q$14),"")</f>
        <v/>
      </c>
      <c r="V16" s="32" t="str">
        <f>IF(AND('Mapa final'!$AA$9="Alta",'Mapa final'!$AC$9="Moderado"),CONCATENATE("R1C",'Mapa final'!$Q$9),"")</f>
        <v/>
      </c>
      <c r="W16" s="33" t="str">
        <f>IF(AND('Mapa final'!$AA$10="Alta",'Mapa final'!$AC$10="Moderado"),CONCATENATE("R1C",'Mapa final'!$Q$10),"")</f>
        <v/>
      </c>
      <c r="X16" s="33" t="str">
        <f>IF(AND('Mapa final'!$AA$11="Alta",'Mapa final'!$AC$11="Moderado"),CONCATENATE("R1C",'Mapa final'!$Q$11),"")</f>
        <v/>
      </c>
      <c r="Y16" s="33" t="str">
        <f>IF(AND('Mapa final'!$AA$12="Alta",'Mapa final'!$AC$12="Moderado"),CONCATENATE("R1C",'Mapa final'!$Q$12),"")</f>
        <v/>
      </c>
      <c r="Z16" s="33" t="str">
        <f>IF(AND('Mapa final'!$AA$13="Alta",'Mapa final'!$AC$13="Moderado"),CONCATENATE("R1C",'Mapa final'!$Q$13),"")</f>
        <v/>
      </c>
      <c r="AA16" s="34" t="str">
        <f>IF(AND('Mapa final'!$AA$14="Alta",'Mapa final'!$AC$14="Moderado"),CONCATENATE("R1C",'Mapa final'!$Q$14),"")</f>
        <v/>
      </c>
      <c r="AB16" s="32" t="str">
        <f>IF(AND('Mapa final'!$AA$9="Alta",'Mapa final'!$AC$9="Mayor"),CONCATENATE("R1C",'Mapa final'!$Q$9),"")</f>
        <v/>
      </c>
      <c r="AC16" s="33" t="str">
        <f>IF(AND('Mapa final'!$AA$10="Alta",'Mapa final'!$AC$10="Mayor"),CONCATENATE("R1C",'Mapa final'!$Q$10),"")</f>
        <v/>
      </c>
      <c r="AD16" s="33" t="str">
        <f>IF(AND('Mapa final'!$AA$11="Alta",'Mapa final'!$AC$11="Mayor"),CONCATENATE("R1C",'Mapa final'!$Q$11),"")</f>
        <v/>
      </c>
      <c r="AE16" s="33" t="str">
        <f>IF(AND('Mapa final'!$AA$12="Alta",'Mapa final'!$AC$12="Mayor"),CONCATENATE("R1C",'Mapa final'!$Q$12),"")</f>
        <v/>
      </c>
      <c r="AF16" s="33" t="str">
        <f>IF(AND('Mapa final'!$AA$13="Alta",'Mapa final'!$AC$13="Mayor"),CONCATENATE("R1C",'Mapa final'!$Q$13),"")</f>
        <v/>
      </c>
      <c r="AG16" s="34" t="str">
        <f>IF(AND('Mapa final'!$AA$14="Alta",'Mapa final'!$AC$14="Mayor"),CONCATENATE("R1C",'Mapa final'!$Q$14),"")</f>
        <v/>
      </c>
      <c r="AH16" s="35" t="str">
        <f>IF(AND('Mapa final'!$AA$9="Alta",'Mapa final'!$AC$9="Catastrófico"),CONCATENATE("R1C",'Mapa final'!$Q$9),"")</f>
        <v/>
      </c>
      <c r="AI16" s="36" t="str">
        <f>IF(AND('Mapa final'!$AA$10="Alta",'Mapa final'!$AC$10="Catastrófico"),CONCATENATE("R1C",'Mapa final'!$Q$10),"")</f>
        <v/>
      </c>
      <c r="AJ16" s="36" t="str">
        <f>IF(AND('Mapa final'!$AA$11="Alta",'Mapa final'!$AC$11="Catastrófico"),CONCATENATE("R1C",'Mapa final'!$Q$11),"")</f>
        <v/>
      </c>
      <c r="AK16" s="36" t="str">
        <f>IF(AND('Mapa final'!$AA$12="Alta",'Mapa final'!$AC$12="Catastrófico"),CONCATENATE("R1C",'Mapa final'!$Q$12),"")</f>
        <v/>
      </c>
      <c r="AL16" s="36" t="str">
        <f>IF(AND('Mapa final'!$AA$13="Alta",'Mapa final'!$AC$13="Catastrófico"),CONCATENATE("R1C",'Mapa final'!$Q$13),"")</f>
        <v/>
      </c>
      <c r="AM16" s="37" t="str">
        <f>IF(AND('Mapa final'!$AA$14="Alta",'Mapa final'!$AC$14="Catastrófico"),CONCATENATE("R1C",'Mapa final'!$Q$14),"")</f>
        <v/>
      </c>
      <c r="AN16" s="70"/>
      <c r="AO16" s="327" t="s">
        <v>76</v>
      </c>
      <c r="AP16" s="328"/>
      <c r="AQ16" s="328"/>
      <c r="AR16" s="328"/>
      <c r="AS16" s="328"/>
      <c r="AT16" s="329"/>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39"/>
      <c r="C17" s="239"/>
      <c r="D17" s="240"/>
      <c r="E17" s="338"/>
      <c r="F17" s="339"/>
      <c r="G17" s="339"/>
      <c r="H17" s="339"/>
      <c r="I17" s="339"/>
      <c r="J17" s="54" t="str">
        <f>IF(AND('Mapa final'!$AA$15="Alta",'Mapa final'!$AC$15="Leve"),CONCATENATE("R2C",'Mapa final'!$Q$15),"")</f>
        <v/>
      </c>
      <c r="K17" s="55" t="str">
        <f>IF(AND('Mapa final'!$AA$16="Alta",'Mapa final'!$AC$16="Leve"),CONCATENATE("R2C",'Mapa final'!$Q$16),"")</f>
        <v/>
      </c>
      <c r="L17" s="55" t="str">
        <f>IF(AND('Mapa final'!$AA$17="Alta",'Mapa final'!$AC$17="Leve"),CONCATENATE("R2C",'Mapa final'!$Q$17),"")</f>
        <v/>
      </c>
      <c r="M17" s="55" t="str">
        <f>IF(AND('Mapa final'!$AA$18="Alta",'Mapa final'!$AC$18="Leve"),CONCATENATE("R2C",'Mapa final'!$Q$18),"")</f>
        <v/>
      </c>
      <c r="N17" s="55" t="str">
        <f>IF(AND('Mapa final'!$AA$19="Alta",'Mapa final'!$AC$19="Leve"),CONCATENATE("R2C",'Mapa final'!$Q$19),"")</f>
        <v/>
      </c>
      <c r="O17" s="56" t="str">
        <f>IF(AND('Mapa final'!$AA$20="Alta",'Mapa final'!$AC$20="Leve"),CONCATENATE("R2C",'Mapa final'!$Q$20),"")</f>
        <v/>
      </c>
      <c r="P17" s="54" t="str">
        <f>IF(AND('Mapa final'!$AA$15="Alta",'Mapa final'!$AC$15="Menor"),CONCATENATE("R2C",'Mapa final'!$Q$15),"")</f>
        <v/>
      </c>
      <c r="Q17" s="55" t="str">
        <f>IF(AND('Mapa final'!$AA$16="Alta",'Mapa final'!$AC$16="Menor"),CONCATENATE("R2C",'Mapa final'!$Q$16),"")</f>
        <v/>
      </c>
      <c r="R17" s="55" t="str">
        <f>IF(AND('Mapa final'!$AA$17="Alta",'Mapa final'!$AC$17="Menor"),CONCATENATE("R2C",'Mapa final'!$Q$17),"")</f>
        <v/>
      </c>
      <c r="S17" s="55" t="str">
        <f>IF(AND('Mapa final'!$AA$18="Alta",'Mapa final'!$AC$18="Menor"),CONCATENATE("R2C",'Mapa final'!$Q$18),"")</f>
        <v/>
      </c>
      <c r="T17" s="55" t="str">
        <f>IF(AND('Mapa final'!$AA$19="Alta",'Mapa final'!$AC$19="Menor"),CONCATENATE("R2C",'Mapa final'!$Q$19),"")</f>
        <v/>
      </c>
      <c r="U17" s="56" t="str">
        <f>IF(AND('Mapa final'!$AA$20="Alta",'Mapa final'!$AC$20="Menor"),CONCATENATE("R2C",'Mapa final'!$Q$20),"")</f>
        <v/>
      </c>
      <c r="V17" s="38" t="str">
        <f>IF(AND('Mapa final'!$AA$15="Alta",'Mapa final'!$AC$15="Moderado"),CONCATENATE("R2C",'Mapa final'!$Q$15),"")</f>
        <v/>
      </c>
      <c r="W17" s="39" t="str">
        <f>IF(AND('Mapa final'!$AA$16="Alta",'Mapa final'!$AC$16="Moderado"),CONCATENATE("R2C",'Mapa final'!$Q$16),"")</f>
        <v/>
      </c>
      <c r="X17" s="39" t="str">
        <f>IF(AND('Mapa final'!$AA$17="Alta",'Mapa final'!$AC$17="Moderado"),CONCATENATE("R2C",'Mapa final'!$Q$17),"")</f>
        <v/>
      </c>
      <c r="Y17" s="39" t="str">
        <f>IF(AND('Mapa final'!$AA$18="Alta",'Mapa final'!$AC$18="Moderado"),CONCATENATE("R2C",'Mapa final'!$Q$18),"")</f>
        <v/>
      </c>
      <c r="Z17" s="39" t="str">
        <f>IF(AND('Mapa final'!$AA$19="Alta",'Mapa final'!$AC$19="Moderado"),CONCATENATE("R2C",'Mapa final'!$Q$19),"")</f>
        <v/>
      </c>
      <c r="AA17" s="40" t="str">
        <f>IF(AND('Mapa final'!$AA$20="Alta",'Mapa final'!$AC$20="Moderado"),CONCATENATE("R2C",'Mapa final'!$Q$20),"")</f>
        <v/>
      </c>
      <c r="AB17" s="38" t="str">
        <f>IF(AND('Mapa final'!$AA$15="Alta",'Mapa final'!$AC$15="Mayor"),CONCATENATE("R2C",'Mapa final'!$Q$15),"")</f>
        <v/>
      </c>
      <c r="AC17" s="39" t="str">
        <f>IF(AND('Mapa final'!$AA$16="Alta",'Mapa final'!$AC$16="Mayor"),CONCATENATE("R2C",'Mapa final'!$Q$16),"")</f>
        <v/>
      </c>
      <c r="AD17" s="39" t="str">
        <f>IF(AND('Mapa final'!$AA$17="Alta",'Mapa final'!$AC$17="Mayor"),CONCATENATE("R2C",'Mapa final'!$Q$17),"")</f>
        <v/>
      </c>
      <c r="AE17" s="39" t="str">
        <f>IF(AND('Mapa final'!$AA$18="Alta",'Mapa final'!$AC$18="Mayor"),CONCATENATE("R2C",'Mapa final'!$Q$18),"")</f>
        <v/>
      </c>
      <c r="AF17" s="39" t="str">
        <f>IF(AND('Mapa final'!$AA$19="Alta",'Mapa final'!$AC$19="Mayor"),CONCATENATE("R2C",'Mapa final'!$Q$19),"")</f>
        <v/>
      </c>
      <c r="AG17" s="40" t="str">
        <f>IF(AND('Mapa final'!$AA$20="Alta",'Mapa final'!$AC$20="Mayor"),CONCATENATE("R2C",'Mapa final'!$Q$20),"")</f>
        <v/>
      </c>
      <c r="AH17" s="41" t="str">
        <f>IF(AND('Mapa final'!$AA$15="Alta",'Mapa final'!$AC$15="Catastrófico"),CONCATENATE("R2C",'Mapa final'!$Q$15),"")</f>
        <v/>
      </c>
      <c r="AI17" s="42" t="str">
        <f>IF(AND('Mapa final'!$AA$16="Alta",'Mapa final'!$AC$16="Catastrófico"),CONCATENATE("R2C",'Mapa final'!$Q$16),"")</f>
        <v/>
      </c>
      <c r="AJ17" s="42" t="str">
        <f>IF(AND('Mapa final'!$AA$17="Alta",'Mapa final'!$AC$17="Catastrófico"),CONCATENATE("R2C",'Mapa final'!$Q$17),"")</f>
        <v/>
      </c>
      <c r="AK17" s="42" t="str">
        <f>IF(AND('Mapa final'!$AA$18="Alta",'Mapa final'!$AC$18="Catastrófico"),CONCATENATE("R2C",'Mapa final'!$Q$18),"")</f>
        <v/>
      </c>
      <c r="AL17" s="42" t="str">
        <f>IF(AND('Mapa final'!$AA$19="Alta",'Mapa final'!$AC$19="Catastrófico"),CONCATENATE("R2C",'Mapa final'!$Q$19),"")</f>
        <v/>
      </c>
      <c r="AM17" s="43" t="str">
        <f>IF(AND('Mapa final'!$AA$20="Alta",'Mapa final'!$AC$20="Catastrófico"),CONCATENATE("R2C",'Mapa final'!$Q$20),"")</f>
        <v/>
      </c>
      <c r="AN17" s="70"/>
      <c r="AO17" s="330"/>
      <c r="AP17" s="331"/>
      <c r="AQ17" s="331"/>
      <c r="AR17" s="331"/>
      <c r="AS17" s="331"/>
      <c r="AT17" s="332"/>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39"/>
      <c r="C18" s="239"/>
      <c r="D18" s="240"/>
      <c r="E18" s="340"/>
      <c r="F18" s="341"/>
      <c r="G18" s="341"/>
      <c r="H18" s="341"/>
      <c r="I18" s="339"/>
      <c r="J18" s="54" t="str">
        <f>IF(AND('Mapa final'!$AA$21="Alta",'Mapa final'!$AC$21="Leve"),CONCATENATE("R3C",'Mapa final'!$Q$21),"")</f>
        <v/>
      </c>
      <c r="K18" s="55" t="str">
        <f>IF(AND('Mapa final'!$AA$22="Alta",'Mapa final'!$AC$22="Leve"),CONCATENATE("R3C",'Mapa final'!$Q$22),"")</f>
        <v/>
      </c>
      <c r="L18" s="55" t="str">
        <f>IF(AND('Mapa final'!$AA$23="Alta",'Mapa final'!$AC$23="Leve"),CONCATENATE("R3C",'Mapa final'!$Q$23),"")</f>
        <v/>
      </c>
      <c r="M18" s="55" t="str">
        <f>IF(AND('Mapa final'!$AA$24="Alta",'Mapa final'!$AC$24="Leve"),CONCATENATE("R3C",'Mapa final'!$Q$24),"")</f>
        <v/>
      </c>
      <c r="N18" s="55" t="str">
        <f>IF(AND('Mapa final'!$AA$25="Alta",'Mapa final'!$AC$25="Leve"),CONCATENATE("R3C",'Mapa final'!$Q$25),"")</f>
        <v/>
      </c>
      <c r="O18" s="56" t="str">
        <f>IF(AND('Mapa final'!$AA$26="Alta",'Mapa final'!$AC$26="Leve"),CONCATENATE("R3C",'Mapa final'!$Q$26),"")</f>
        <v/>
      </c>
      <c r="P18" s="54" t="str">
        <f>IF(AND('Mapa final'!$AA$21="Alta",'Mapa final'!$AC$21="Menor"),CONCATENATE("R3C",'Mapa final'!$Q$21),"")</f>
        <v/>
      </c>
      <c r="Q18" s="55" t="str">
        <f>IF(AND('Mapa final'!$AA$22="Alta",'Mapa final'!$AC$22="Menor"),CONCATENATE("R3C",'Mapa final'!$Q$22),"")</f>
        <v/>
      </c>
      <c r="R18" s="55" t="str">
        <f>IF(AND('Mapa final'!$AA$23="Alta",'Mapa final'!$AC$23="Menor"),CONCATENATE("R3C",'Mapa final'!$Q$23),"")</f>
        <v/>
      </c>
      <c r="S18" s="55" t="str">
        <f>IF(AND('Mapa final'!$AA$24="Alta",'Mapa final'!$AC$24="Menor"),CONCATENATE("R3C",'Mapa final'!$Q$24),"")</f>
        <v/>
      </c>
      <c r="T18" s="55" t="str">
        <f>IF(AND('Mapa final'!$AA$25="Alta",'Mapa final'!$AC$25="Menor"),CONCATENATE("R3C",'Mapa final'!$Q$25),"")</f>
        <v/>
      </c>
      <c r="U18" s="56" t="str">
        <f>IF(AND('Mapa final'!$AA$26="Alta",'Mapa final'!$AC$26="Menor"),CONCATENATE("R3C",'Mapa final'!$Q$26),"")</f>
        <v/>
      </c>
      <c r="V18" s="38" t="str">
        <f>IF(AND('Mapa final'!$AA$21="Alta",'Mapa final'!$AC$21="Moderado"),CONCATENATE("R3C",'Mapa final'!$Q$21),"")</f>
        <v/>
      </c>
      <c r="W18" s="39" t="str">
        <f>IF(AND('Mapa final'!$AA$22="Alta",'Mapa final'!$AC$22="Moderado"),CONCATENATE("R3C",'Mapa final'!$Q$22),"")</f>
        <v/>
      </c>
      <c r="X18" s="39" t="str">
        <f>IF(AND('Mapa final'!$AA$23="Alta",'Mapa final'!$AC$23="Moderado"),CONCATENATE("R3C",'Mapa final'!$Q$23),"")</f>
        <v/>
      </c>
      <c r="Y18" s="39" t="str">
        <f>IF(AND('Mapa final'!$AA$24="Alta",'Mapa final'!$AC$24="Moderado"),CONCATENATE("R3C",'Mapa final'!$Q$24),"")</f>
        <v/>
      </c>
      <c r="Z18" s="39" t="str">
        <f>IF(AND('Mapa final'!$AA$25="Alta",'Mapa final'!$AC$25="Moderado"),CONCATENATE("R3C",'Mapa final'!$Q$25),"")</f>
        <v/>
      </c>
      <c r="AA18" s="40" t="str">
        <f>IF(AND('Mapa final'!$AA$26="Alta",'Mapa final'!$AC$26="Moderado"),CONCATENATE("R3C",'Mapa final'!$Q$26),"")</f>
        <v/>
      </c>
      <c r="AB18" s="38" t="str">
        <f>IF(AND('Mapa final'!$AA$21="Alta",'Mapa final'!$AC$21="Mayor"),CONCATENATE("R3C",'Mapa final'!$Q$21),"")</f>
        <v/>
      </c>
      <c r="AC18" s="39" t="str">
        <f>IF(AND('Mapa final'!$AA$22="Alta",'Mapa final'!$AC$22="Mayor"),CONCATENATE("R3C",'Mapa final'!$Q$22),"")</f>
        <v/>
      </c>
      <c r="AD18" s="39" t="str">
        <f>IF(AND('Mapa final'!$AA$23="Alta",'Mapa final'!$AC$23="Mayor"),CONCATENATE("R3C",'Mapa final'!$Q$23),"")</f>
        <v/>
      </c>
      <c r="AE18" s="39" t="str">
        <f>IF(AND('Mapa final'!$AA$24="Alta",'Mapa final'!$AC$24="Mayor"),CONCATENATE("R3C",'Mapa final'!$Q$24),"")</f>
        <v/>
      </c>
      <c r="AF18" s="39" t="str">
        <f>IF(AND('Mapa final'!$AA$25="Alta",'Mapa final'!$AC$25="Mayor"),CONCATENATE("R3C",'Mapa final'!$Q$25),"")</f>
        <v/>
      </c>
      <c r="AG18" s="40" t="str">
        <f>IF(AND('Mapa final'!$AA$26="Alta",'Mapa final'!$AC$26="Mayor"),CONCATENATE("R3C",'Mapa final'!$Q$26),"")</f>
        <v/>
      </c>
      <c r="AH18" s="41" t="str">
        <f>IF(AND('Mapa final'!$AA$21="Alta",'Mapa final'!$AC$21="Catastrófico"),CONCATENATE("R3C",'Mapa final'!$Q$21),"")</f>
        <v/>
      </c>
      <c r="AI18" s="42" t="str">
        <f>IF(AND('Mapa final'!$AA$22="Alta",'Mapa final'!$AC$22="Catastrófico"),CONCATENATE("R3C",'Mapa final'!$Q$22),"")</f>
        <v/>
      </c>
      <c r="AJ18" s="42" t="str">
        <f>IF(AND('Mapa final'!$AA$23="Alta",'Mapa final'!$AC$23="Catastrófico"),CONCATENATE("R3C",'Mapa final'!$Q$23),"")</f>
        <v/>
      </c>
      <c r="AK18" s="42" t="str">
        <f>IF(AND('Mapa final'!$AA$24="Alta",'Mapa final'!$AC$24="Catastrófico"),CONCATENATE("R3C",'Mapa final'!$Q$24),"")</f>
        <v/>
      </c>
      <c r="AL18" s="42" t="str">
        <f>IF(AND('Mapa final'!$AA$25="Alta",'Mapa final'!$AC$25="Catastrófico"),CONCATENATE("R3C",'Mapa final'!$Q$25),"")</f>
        <v/>
      </c>
      <c r="AM18" s="43" t="str">
        <f>IF(AND('Mapa final'!$AA$26="Alta",'Mapa final'!$AC$26="Catastrófico"),CONCATENATE("R3C",'Mapa final'!$Q$26),"")</f>
        <v/>
      </c>
      <c r="AN18" s="70"/>
      <c r="AO18" s="330"/>
      <c r="AP18" s="331"/>
      <c r="AQ18" s="331"/>
      <c r="AR18" s="331"/>
      <c r="AS18" s="331"/>
      <c r="AT18" s="332"/>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39"/>
      <c r="C19" s="239"/>
      <c r="D19" s="240"/>
      <c r="E19" s="340"/>
      <c r="F19" s="341"/>
      <c r="G19" s="341"/>
      <c r="H19" s="341"/>
      <c r="I19" s="339"/>
      <c r="J19" s="54" t="str">
        <f>IF(AND('Mapa final'!$AA$27="Alta",'Mapa final'!$AC$27="Leve"),CONCATENATE("R4C",'Mapa final'!$Q$27),"")</f>
        <v/>
      </c>
      <c r="K19" s="55" t="str">
        <f>IF(AND('Mapa final'!$AA$28="Alta",'Mapa final'!$AC$28="Leve"),CONCATENATE("R4C",'Mapa final'!$Q$28),"")</f>
        <v/>
      </c>
      <c r="L19" s="55" t="str">
        <f>IF(AND('Mapa final'!$AA$29="Alta",'Mapa final'!$AC$29="Leve"),CONCATENATE("R4C",'Mapa final'!$Q$29),"")</f>
        <v/>
      </c>
      <c r="M19" s="55" t="str">
        <f>IF(AND('Mapa final'!$AA$30="Alta",'Mapa final'!$AC$30="Leve"),CONCATENATE("R4C",'Mapa final'!$Q$30),"")</f>
        <v/>
      </c>
      <c r="N19" s="55" t="str">
        <f>IF(AND('Mapa final'!$AA$31="Alta",'Mapa final'!$AC$31="Leve"),CONCATENATE("R4C",'Mapa final'!$Q$31),"")</f>
        <v/>
      </c>
      <c r="O19" s="56" t="str">
        <f>IF(AND('Mapa final'!$AA$32="Alta",'Mapa final'!$AC$32="Leve"),CONCATENATE("R4C",'Mapa final'!$Q$32),"")</f>
        <v/>
      </c>
      <c r="P19" s="54" t="str">
        <f>IF(AND('Mapa final'!$AA$27="Alta",'Mapa final'!$AC$27="Menor"),CONCATENATE("R4C",'Mapa final'!$Q$27),"")</f>
        <v/>
      </c>
      <c r="Q19" s="55" t="str">
        <f>IF(AND('Mapa final'!$AA$28="Alta",'Mapa final'!$AC$28="Menor"),CONCATENATE("R4C",'Mapa final'!$Q$28),"")</f>
        <v/>
      </c>
      <c r="R19" s="55" t="str">
        <f>IF(AND('Mapa final'!$AA$29="Alta",'Mapa final'!$AC$29="Menor"),CONCATENATE("R4C",'Mapa final'!$Q$29),"")</f>
        <v/>
      </c>
      <c r="S19" s="55" t="str">
        <f>IF(AND('Mapa final'!$AA$30="Alta",'Mapa final'!$AC$30="Menor"),CONCATENATE("R4C",'Mapa final'!$Q$30),"")</f>
        <v/>
      </c>
      <c r="T19" s="55" t="str">
        <f>IF(AND('Mapa final'!$AA$31="Alta",'Mapa final'!$AC$31="Menor"),CONCATENATE("R4C",'Mapa final'!$Q$31),"")</f>
        <v/>
      </c>
      <c r="U19" s="56" t="str">
        <f>IF(AND('Mapa final'!$AA$32="Alta",'Mapa final'!$AC$32="Menor"),CONCATENATE("R4C",'Mapa final'!$Q$32),"")</f>
        <v/>
      </c>
      <c r="V19" s="38" t="str">
        <f>IF(AND('Mapa final'!$AA$27="Alta",'Mapa final'!$AC$27="Moderado"),CONCATENATE("R4C",'Mapa final'!$Q$27),"")</f>
        <v/>
      </c>
      <c r="W19" s="39" t="str">
        <f>IF(AND('Mapa final'!$AA$28="Alta",'Mapa final'!$AC$28="Moderado"),CONCATENATE("R4C",'Mapa final'!$Q$28),"")</f>
        <v/>
      </c>
      <c r="X19" s="44" t="str">
        <f>IF(AND('Mapa final'!$AA$29="Alta",'Mapa final'!$AC$29="Moderado"),CONCATENATE("R4C",'Mapa final'!$Q$29),"")</f>
        <v/>
      </c>
      <c r="Y19" s="44" t="str">
        <f>IF(AND('Mapa final'!$AA$30="Alta",'Mapa final'!$AC$30="Moderado"),CONCATENATE("R4C",'Mapa final'!$Q$30),"")</f>
        <v/>
      </c>
      <c r="Z19" s="44" t="str">
        <f>IF(AND('Mapa final'!$AA$31="Alta",'Mapa final'!$AC$31="Moderado"),CONCATENATE("R4C",'Mapa final'!$Q$31),"")</f>
        <v/>
      </c>
      <c r="AA19" s="40" t="str">
        <f>IF(AND('Mapa final'!$AA$32="Alta",'Mapa final'!$AC$32="Moderado"),CONCATENATE("R4C",'Mapa final'!$Q$32),"")</f>
        <v/>
      </c>
      <c r="AB19" s="38" t="str">
        <f>IF(AND('Mapa final'!$AA$27="Alta",'Mapa final'!$AC$27="Mayor"),CONCATENATE("R4C",'Mapa final'!$Q$27),"")</f>
        <v/>
      </c>
      <c r="AC19" s="39" t="str">
        <f>IF(AND('Mapa final'!$AA$28="Alta",'Mapa final'!$AC$28="Mayor"),CONCATENATE("R4C",'Mapa final'!$Q$28),"")</f>
        <v/>
      </c>
      <c r="AD19" s="44" t="str">
        <f>IF(AND('Mapa final'!$AA$29="Alta",'Mapa final'!$AC$29="Mayor"),CONCATENATE("R4C",'Mapa final'!$Q$29),"")</f>
        <v/>
      </c>
      <c r="AE19" s="44" t="str">
        <f>IF(AND('Mapa final'!$AA$30="Alta",'Mapa final'!$AC$30="Mayor"),CONCATENATE("R4C",'Mapa final'!$Q$30),"")</f>
        <v/>
      </c>
      <c r="AF19" s="44" t="str">
        <f>IF(AND('Mapa final'!$AA$31="Alta",'Mapa final'!$AC$31="Mayor"),CONCATENATE("R4C",'Mapa final'!$Q$31),"")</f>
        <v/>
      </c>
      <c r="AG19" s="40" t="str">
        <f>IF(AND('Mapa final'!$AA$32="Alta",'Mapa final'!$AC$32="Mayor"),CONCATENATE("R4C",'Mapa final'!$Q$32),"")</f>
        <v/>
      </c>
      <c r="AH19" s="41" t="str">
        <f>IF(AND('Mapa final'!$AA$27="Alta",'Mapa final'!$AC$27="Catastrófico"),CONCATENATE("R4C",'Mapa final'!$Q$27),"")</f>
        <v/>
      </c>
      <c r="AI19" s="42" t="str">
        <f>IF(AND('Mapa final'!$AA$28="Alta",'Mapa final'!$AC$28="Catastrófico"),CONCATENATE("R4C",'Mapa final'!$Q$28),"")</f>
        <v/>
      </c>
      <c r="AJ19" s="42" t="str">
        <f>IF(AND('Mapa final'!$AA$29="Alta",'Mapa final'!$AC$29="Catastrófico"),CONCATENATE("R4C",'Mapa final'!$Q$29),"")</f>
        <v/>
      </c>
      <c r="AK19" s="42" t="str">
        <f>IF(AND('Mapa final'!$AA$30="Alta",'Mapa final'!$AC$30="Catastrófico"),CONCATENATE("R4C",'Mapa final'!$Q$30),"")</f>
        <v/>
      </c>
      <c r="AL19" s="42" t="str">
        <f>IF(AND('Mapa final'!$AA$31="Alta",'Mapa final'!$AC$31="Catastrófico"),CONCATENATE("R4C",'Mapa final'!$Q$31),"")</f>
        <v/>
      </c>
      <c r="AM19" s="43" t="str">
        <f>IF(AND('Mapa final'!$AA$32="Alta",'Mapa final'!$AC$32="Catastrófico"),CONCATENATE("R4C",'Mapa final'!$Q$32),"")</f>
        <v/>
      </c>
      <c r="AN19" s="70"/>
      <c r="AO19" s="330"/>
      <c r="AP19" s="331"/>
      <c r="AQ19" s="331"/>
      <c r="AR19" s="331"/>
      <c r="AS19" s="331"/>
      <c r="AT19" s="332"/>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39"/>
      <c r="C20" s="239"/>
      <c r="D20" s="240"/>
      <c r="E20" s="340"/>
      <c r="F20" s="341"/>
      <c r="G20" s="341"/>
      <c r="H20" s="341"/>
      <c r="I20" s="339"/>
      <c r="J20" s="54" t="str">
        <f>IF(AND('Mapa final'!$AA$33="Alta",'Mapa final'!$AC$33="Leve"),CONCATENATE("R5C",'Mapa final'!$Q$33),"")</f>
        <v/>
      </c>
      <c r="K20" s="55" t="str">
        <f>IF(AND('Mapa final'!$AA$34="Alta",'Mapa final'!$AC$34="Leve"),CONCATENATE("R5C",'Mapa final'!$Q$34),"")</f>
        <v/>
      </c>
      <c r="L20" s="55" t="str">
        <f>IF(AND('Mapa final'!$AA$35="Alta",'Mapa final'!$AC$35="Leve"),CONCATENATE("R5C",'Mapa final'!$Q$35),"")</f>
        <v/>
      </c>
      <c r="M20" s="55" t="str">
        <f>IF(AND('Mapa final'!$AA$36="Alta",'Mapa final'!$AC$36="Leve"),CONCATENATE("R5C",'Mapa final'!$Q$36),"")</f>
        <v/>
      </c>
      <c r="N20" s="55" t="str">
        <f>IF(AND('Mapa final'!$AA$37="Alta",'Mapa final'!$AC$37="Leve"),CONCATENATE("R5C",'Mapa final'!$Q$37),"")</f>
        <v/>
      </c>
      <c r="O20" s="56" t="str">
        <f>IF(AND('Mapa final'!$AA$38="Alta",'Mapa final'!$AC$38="Leve"),CONCATENATE("R5C",'Mapa final'!$Q$38),"")</f>
        <v/>
      </c>
      <c r="P20" s="54" t="str">
        <f>IF(AND('Mapa final'!$AA$33="Alta",'Mapa final'!$AC$33="Menor"),CONCATENATE("R5C",'Mapa final'!$Q$33),"")</f>
        <v/>
      </c>
      <c r="Q20" s="55" t="str">
        <f>IF(AND('Mapa final'!$AA$34="Alta",'Mapa final'!$AC$34="Menor"),CONCATENATE("R5C",'Mapa final'!$Q$34),"")</f>
        <v/>
      </c>
      <c r="R20" s="55" t="str">
        <f>IF(AND('Mapa final'!$AA$35="Alta",'Mapa final'!$AC$35="Menor"),CONCATENATE("R5C",'Mapa final'!$Q$35),"")</f>
        <v/>
      </c>
      <c r="S20" s="55" t="str">
        <f>IF(AND('Mapa final'!$AA$36="Alta",'Mapa final'!$AC$36="Menor"),CONCATENATE("R5C",'Mapa final'!$Q$36),"")</f>
        <v/>
      </c>
      <c r="T20" s="55" t="str">
        <f>IF(AND('Mapa final'!$AA$37="Alta",'Mapa final'!$AC$37="Menor"),CONCATENATE("R5C",'Mapa final'!$Q$37),"")</f>
        <v/>
      </c>
      <c r="U20" s="56" t="str">
        <f>IF(AND('Mapa final'!$AA$38="Alta",'Mapa final'!$AC$38="Menor"),CONCATENATE("R5C",'Mapa final'!$Q$38),"")</f>
        <v/>
      </c>
      <c r="V20" s="38" t="str">
        <f>IF(AND('Mapa final'!$AA$33="Alta",'Mapa final'!$AC$33="Moderado"),CONCATENATE("R5C",'Mapa final'!$Q$33),"")</f>
        <v/>
      </c>
      <c r="W20" s="39" t="str">
        <f>IF(AND('Mapa final'!$AA$34="Alta",'Mapa final'!$AC$34="Moderado"),CONCATENATE("R5C",'Mapa final'!$Q$34),"")</f>
        <v/>
      </c>
      <c r="X20" s="44" t="str">
        <f>IF(AND('Mapa final'!$AA$35="Alta",'Mapa final'!$AC$35="Moderado"),CONCATENATE("R5C",'Mapa final'!$Q$35),"")</f>
        <v/>
      </c>
      <c r="Y20" s="44" t="str">
        <f>IF(AND('Mapa final'!$AA$36="Alta",'Mapa final'!$AC$36="Moderado"),CONCATENATE("R5C",'Mapa final'!$Q$36),"")</f>
        <v/>
      </c>
      <c r="Z20" s="44" t="str">
        <f>IF(AND('Mapa final'!$AA$37="Alta",'Mapa final'!$AC$37="Moderado"),CONCATENATE("R5C",'Mapa final'!$Q$37),"")</f>
        <v/>
      </c>
      <c r="AA20" s="40" t="str">
        <f>IF(AND('Mapa final'!$AA$38="Alta",'Mapa final'!$AC$38="Moderado"),CONCATENATE("R5C",'Mapa final'!$Q$38),"")</f>
        <v/>
      </c>
      <c r="AB20" s="38" t="str">
        <f>IF(AND('Mapa final'!$AA$33="Alta",'Mapa final'!$AC$33="Mayor"),CONCATENATE("R5C",'Mapa final'!$Q$33),"")</f>
        <v/>
      </c>
      <c r="AC20" s="39" t="str">
        <f>IF(AND('Mapa final'!$AA$34="Alta",'Mapa final'!$AC$34="Mayor"),CONCATENATE("R5C",'Mapa final'!$Q$34),"")</f>
        <v/>
      </c>
      <c r="AD20" s="44" t="str">
        <f>IF(AND('Mapa final'!$AA$35="Alta",'Mapa final'!$AC$35="Mayor"),CONCATENATE("R5C",'Mapa final'!$Q$35),"")</f>
        <v/>
      </c>
      <c r="AE20" s="44" t="str">
        <f>IF(AND('Mapa final'!$AA$36="Alta",'Mapa final'!$AC$36="Mayor"),CONCATENATE("R5C",'Mapa final'!$Q$36),"")</f>
        <v/>
      </c>
      <c r="AF20" s="44" t="str">
        <f>IF(AND('Mapa final'!$AA$37="Alta",'Mapa final'!$AC$37="Mayor"),CONCATENATE("R5C",'Mapa final'!$Q$37),"")</f>
        <v/>
      </c>
      <c r="AG20" s="40" t="str">
        <f>IF(AND('Mapa final'!$AA$38="Alta",'Mapa final'!$AC$38="Mayor"),CONCATENATE("R5C",'Mapa final'!$Q$38),"")</f>
        <v/>
      </c>
      <c r="AH20" s="41" t="str">
        <f>IF(AND('Mapa final'!$AA$33="Alta",'Mapa final'!$AC$33="Catastrófico"),CONCATENATE("R5C",'Mapa final'!$Q$33),"")</f>
        <v/>
      </c>
      <c r="AI20" s="42" t="str">
        <f>IF(AND('Mapa final'!$AA$34="Alta",'Mapa final'!$AC$34="Catastrófico"),CONCATENATE("R5C",'Mapa final'!$Q$34),"")</f>
        <v/>
      </c>
      <c r="AJ20" s="42" t="str">
        <f>IF(AND('Mapa final'!$AA$35="Alta",'Mapa final'!$AC$35="Catastrófico"),CONCATENATE("R5C",'Mapa final'!$Q$35),"")</f>
        <v/>
      </c>
      <c r="AK20" s="42" t="str">
        <f>IF(AND('Mapa final'!$AA$36="Alta",'Mapa final'!$AC$36="Catastrófico"),CONCATENATE("R5C",'Mapa final'!$Q$36),"")</f>
        <v/>
      </c>
      <c r="AL20" s="42" t="str">
        <f>IF(AND('Mapa final'!$AA$37="Alta",'Mapa final'!$AC$37="Catastrófico"),CONCATENATE("R5C",'Mapa final'!$Q$37),"")</f>
        <v/>
      </c>
      <c r="AM20" s="43" t="str">
        <f>IF(AND('Mapa final'!$AA$38="Alta",'Mapa final'!$AC$38="Catastrófico"),CONCATENATE("R5C",'Mapa final'!$Q$38),"")</f>
        <v/>
      </c>
      <c r="AN20" s="70"/>
      <c r="AO20" s="330"/>
      <c r="AP20" s="331"/>
      <c r="AQ20" s="331"/>
      <c r="AR20" s="331"/>
      <c r="AS20" s="331"/>
      <c r="AT20" s="332"/>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39"/>
      <c r="C21" s="239"/>
      <c r="D21" s="240"/>
      <c r="E21" s="340"/>
      <c r="F21" s="341"/>
      <c r="G21" s="341"/>
      <c r="H21" s="341"/>
      <c r="I21" s="339"/>
      <c r="J21" s="54" t="str">
        <f>IF(AND('Mapa final'!$AA$39="Alta",'Mapa final'!$AC$39="Leve"),CONCATENATE("R6C",'Mapa final'!$Q$39),"")</f>
        <v/>
      </c>
      <c r="K21" s="55" t="str">
        <f>IF(AND('Mapa final'!$AA$40="Alta",'Mapa final'!$AC$40="Leve"),CONCATENATE("R6C",'Mapa final'!$Q$40),"")</f>
        <v/>
      </c>
      <c r="L21" s="55" t="str">
        <f>IF(AND('Mapa final'!$AA$41="Alta",'Mapa final'!$AC$41="Leve"),CONCATENATE("R6C",'Mapa final'!$Q$41),"")</f>
        <v/>
      </c>
      <c r="M21" s="55" t="str">
        <f>IF(AND('Mapa final'!$AA$42="Alta",'Mapa final'!$AC$42="Leve"),CONCATENATE("R6C",'Mapa final'!$Q$42),"")</f>
        <v/>
      </c>
      <c r="N21" s="55" t="str">
        <f>IF(AND('Mapa final'!$AA$43="Alta",'Mapa final'!$AC$43="Leve"),CONCATENATE("R6C",'Mapa final'!$Q$43),"")</f>
        <v/>
      </c>
      <c r="O21" s="56" t="str">
        <f>IF(AND('Mapa final'!$AA$44="Alta",'Mapa final'!$AC$44="Leve"),CONCATENATE("R6C",'Mapa final'!$Q$44),"")</f>
        <v/>
      </c>
      <c r="P21" s="54" t="str">
        <f>IF(AND('Mapa final'!$AA$39="Alta",'Mapa final'!$AC$39="Menor"),CONCATENATE("R6C",'Mapa final'!$Q$39),"")</f>
        <v/>
      </c>
      <c r="Q21" s="55" t="str">
        <f>IF(AND('Mapa final'!$AA$40="Alta",'Mapa final'!$AC$40="Menor"),CONCATENATE("R6C",'Mapa final'!$Q$40),"")</f>
        <v/>
      </c>
      <c r="R21" s="55" t="str">
        <f>IF(AND('Mapa final'!$AA$41="Alta",'Mapa final'!$AC$41="Menor"),CONCATENATE("R6C",'Mapa final'!$Q$41),"")</f>
        <v/>
      </c>
      <c r="S21" s="55" t="str">
        <f>IF(AND('Mapa final'!$AA$42="Alta",'Mapa final'!$AC$42="Menor"),CONCATENATE("R6C",'Mapa final'!$Q$42),"")</f>
        <v/>
      </c>
      <c r="T21" s="55" t="str">
        <f>IF(AND('Mapa final'!$AA$43="Alta",'Mapa final'!$AC$43="Menor"),CONCATENATE("R6C",'Mapa final'!$Q$43),"")</f>
        <v/>
      </c>
      <c r="U21" s="56" t="str">
        <f>IF(AND('Mapa final'!$AA$44="Alta",'Mapa final'!$AC$44="Menor"),CONCATENATE("R6C",'Mapa final'!$Q$44),"")</f>
        <v/>
      </c>
      <c r="V21" s="38" t="str">
        <f>IF(AND('Mapa final'!$AA$39="Alta",'Mapa final'!$AC$39="Moderado"),CONCATENATE("R6C",'Mapa final'!$Q$39),"")</f>
        <v/>
      </c>
      <c r="W21" s="39" t="str">
        <f>IF(AND('Mapa final'!$AA$40="Alta",'Mapa final'!$AC$40="Moderado"),CONCATENATE("R6C",'Mapa final'!$Q$40),"")</f>
        <v/>
      </c>
      <c r="X21" s="44" t="str">
        <f>IF(AND('Mapa final'!$AA$41="Alta",'Mapa final'!$AC$41="Moderado"),CONCATENATE("R6C",'Mapa final'!$Q$41),"")</f>
        <v/>
      </c>
      <c r="Y21" s="44" t="str">
        <f>IF(AND('Mapa final'!$AA$42="Alta",'Mapa final'!$AC$42="Moderado"),CONCATENATE("R6C",'Mapa final'!$Q$42),"")</f>
        <v/>
      </c>
      <c r="Z21" s="44" t="str">
        <f>IF(AND('Mapa final'!$AA$43="Alta",'Mapa final'!$AC$43="Moderado"),CONCATENATE("R6C",'Mapa final'!$Q$43),"")</f>
        <v/>
      </c>
      <c r="AA21" s="40" t="str">
        <f>IF(AND('Mapa final'!$AA$44="Alta",'Mapa final'!$AC$44="Moderado"),CONCATENATE("R6C",'Mapa final'!$Q$44),"")</f>
        <v/>
      </c>
      <c r="AB21" s="38" t="str">
        <f>IF(AND('Mapa final'!$AA$39="Alta",'Mapa final'!$AC$39="Mayor"),CONCATENATE("R6C",'Mapa final'!$Q$39),"")</f>
        <v/>
      </c>
      <c r="AC21" s="39" t="str">
        <f>IF(AND('Mapa final'!$AA$40="Alta",'Mapa final'!$AC$40="Mayor"),CONCATENATE("R6C",'Mapa final'!$Q$40),"")</f>
        <v/>
      </c>
      <c r="AD21" s="44" t="str">
        <f>IF(AND('Mapa final'!$AA$41="Alta",'Mapa final'!$AC$41="Mayor"),CONCATENATE("R6C",'Mapa final'!$Q$41),"")</f>
        <v/>
      </c>
      <c r="AE21" s="44" t="str">
        <f>IF(AND('Mapa final'!$AA$42="Alta",'Mapa final'!$AC$42="Mayor"),CONCATENATE("R6C",'Mapa final'!$Q$42),"")</f>
        <v/>
      </c>
      <c r="AF21" s="44" t="str">
        <f>IF(AND('Mapa final'!$AA$43="Alta",'Mapa final'!$AC$43="Mayor"),CONCATENATE("R6C",'Mapa final'!$Q$43),"")</f>
        <v/>
      </c>
      <c r="AG21" s="40" t="str">
        <f>IF(AND('Mapa final'!$AA$44="Alta",'Mapa final'!$AC$44="Mayor"),CONCATENATE("R6C",'Mapa final'!$Q$44),"")</f>
        <v/>
      </c>
      <c r="AH21" s="41" t="str">
        <f>IF(AND('Mapa final'!$AA$39="Alta",'Mapa final'!$AC$39="Catastrófico"),CONCATENATE("R6C",'Mapa final'!$Q$39),"")</f>
        <v/>
      </c>
      <c r="AI21" s="42" t="str">
        <f>IF(AND('Mapa final'!$AA$40="Alta",'Mapa final'!$AC$40="Catastrófico"),CONCATENATE("R6C",'Mapa final'!$Q$40),"")</f>
        <v/>
      </c>
      <c r="AJ21" s="42" t="str">
        <f>IF(AND('Mapa final'!$AA$41="Alta",'Mapa final'!$AC$41="Catastrófico"),CONCATENATE("R6C",'Mapa final'!$Q$41),"")</f>
        <v/>
      </c>
      <c r="AK21" s="42" t="str">
        <f>IF(AND('Mapa final'!$AA$42="Alta",'Mapa final'!$AC$42="Catastrófico"),CONCATENATE("R6C",'Mapa final'!$Q$42),"")</f>
        <v/>
      </c>
      <c r="AL21" s="42" t="str">
        <f>IF(AND('Mapa final'!$AA$43="Alta",'Mapa final'!$AC$43="Catastrófico"),CONCATENATE("R6C",'Mapa final'!$Q$43),"")</f>
        <v/>
      </c>
      <c r="AM21" s="43" t="str">
        <f>IF(AND('Mapa final'!$AA$44="Alta",'Mapa final'!$AC$44="Catastrófico"),CONCATENATE("R6C",'Mapa final'!$Q$44),"")</f>
        <v/>
      </c>
      <c r="AN21" s="70"/>
      <c r="AO21" s="330"/>
      <c r="AP21" s="331"/>
      <c r="AQ21" s="331"/>
      <c r="AR21" s="331"/>
      <c r="AS21" s="331"/>
      <c r="AT21" s="332"/>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39"/>
      <c r="C22" s="239"/>
      <c r="D22" s="240"/>
      <c r="E22" s="340"/>
      <c r="F22" s="341"/>
      <c r="G22" s="341"/>
      <c r="H22" s="341"/>
      <c r="I22" s="339"/>
      <c r="J22" s="54" t="str">
        <f>IF(AND('Mapa final'!$AA$45="Alta",'Mapa final'!$AC$45="Leve"),CONCATENATE("R7C",'Mapa final'!$Q$45),"")</f>
        <v/>
      </c>
      <c r="K22" s="55" t="str">
        <f>IF(AND('Mapa final'!$AA$46="Alta",'Mapa final'!$AC$46="Leve"),CONCATENATE("R7C",'Mapa final'!$Q$46),"")</f>
        <v/>
      </c>
      <c r="L22" s="55" t="str">
        <f>IF(AND('Mapa final'!$AA$47="Alta",'Mapa final'!$AC$47="Leve"),CONCATENATE("R7C",'Mapa final'!$Q$47),"")</f>
        <v/>
      </c>
      <c r="M22" s="55" t="str">
        <f>IF(AND('Mapa final'!$AA$48="Alta",'Mapa final'!$AC$48="Leve"),CONCATENATE("R7C",'Mapa final'!$Q$48),"")</f>
        <v/>
      </c>
      <c r="N22" s="55" t="str">
        <f>IF(AND('Mapa final'!$AA$49="Alta",'Mapa final'!$AC$49="Leve"),CONCATENATE("R7C",'Mapa final'!$Q$49),"")</f>
        <v/>
      </c>
      <c r="O22" s="56" t="str">
        <f>IF(AND('Mapa final'!$AA$50="Alta",'Mapa final'!$AC$50="Leve"),CONCATENATE("R7C",'Mapa final'!$Q$50),"")</f>
        <v/>
      </c>
      <c r="P22" s="54" t="str">
        <f>IF(AND('Mapa final'!$AA$45="Alta",'Mapa final'!$AC$45="Menor"),CONCATENATE("R7C",'Mapa final'!$Q$45),"")</f>
        <v/>
      </c>
      <c r="Q22" s="55" t="str">
        <f>IF(AND('Mapa final'!$AA$46="Alta",'Mapa final'!$AC$46="Menor"),CONCATENATE("R7C",'Mapa final'!$Q$46),"")</f>
        <v/>
      </c>
      <c r="R22" s="55" t="str">
        <f>IF(AND('Mapa final'!$AA$47="Alta",'Mapa final'!$AC$47="Menor"),CONCATENATE("R7C",'Mapa final'!$Q$47),"")</f>
        <v/>
      </c>
      <c r="S22" s="55" t="str">
        <f>IF(AND('Mapa final'!$AA$48="Alta",'Mapa final'!$AC$48="Menor"),CONCATENATE("R7C",'Mapa final'!$Q$48),"")</f>
        <v/>
      </c>
      <c r="T22" s="55" t="str">
        <f>IF(AND('Mapa final'!$AA$49="Alta",'Mapa final'!$AC$49="Menor"),CONCATENATE("R7C",'Mapa final'!$Q$49),"")</f>
        <v/>
      </c>
      <c r="U22" s="56" t="str">
        <f>IF(AND('Mapa final'!$AA$50="Alta",'Mapa final'!$AC$50="Menor"),CONCATENATE("R7C",'Mapa final'!$Q$50),"")</f>
        <v/>
      </c>
      <c r="V22" s="38" t="str">
        <f>IF(AND('Mapa final'!$AA$45="Alta",'Mapa final'!$AC$45="Moderado"),CONCATENATE("R7C",'Mapa final'!$Q$45),"")</f>
        <v/>
      </c>
      <c r="W22" s="39" t="str">
        <f>IF(AND('Mapa final'!$AA$46="Alta",'Mapa final'!$AC$46="Moderado"),CONCATENATE("R7C",'Mapa final'!$Q$46),"")</f>
        <v/>
      </c>
      <c r="X22" s="44" t="str">
        <f>IF(AND('Mapa final'!$AA$47="Alta",'Mapa final'!$AC$47="Moderado"),CONCATENATE("R7C",'Mapa final'!$Q$47),"")</f>
        <v/>
      </c>
      <c r="Y22" s="44" t="str">
        <f>IF(AND('Mapa final'!$AA$48="Alta",'Mapa final'!$AC$48="Moderado"),CONCATENATE("R7C",'Mapa final'!$Q$48),"")</f>
        <v/>
      </c>
      <c r="Z22" s="44" t="str">
        <f>IF(AND('Mapa final'!$AA$49="Alta",'Mapa final'!$AC$49="Moderado"),CONCATENATE("R7C",'Mapa final'!$Q$49),"")</f>
        <v/>
      </c>
      <c r="AA22" s="40" t="str">
        <f>IF(AND('Mapa final'!$AA$50="Alta",'Mapa final'!$AC$50="Moderado"),CONCATENATE("R7C",'Mapa final'!$Q$50),"")</f>
        <v/>
      </c>
      <c r="AB22" s="38" t="str">
        <f>IF(AND('Mapa final'!$AA$45="Alta",'Mapa final'!$AC$45="Mayor"),CONCATENATE("R7C",'Mapa final'!$Q$45),"")</f>
        <v/>
      </c>
      <c r="AC22" s="39" t="str">
        <f>IF(AND('Mapa final'!$AA$46="Alta",'Mapa final'!$AC$46="Mayor"),CONCATENATE("R7C",'Mapa final'!$Q$46),"")</f>
        <v/>
      </c>
      <c r="AD22" s="44" t="str">
        <f>IF(AND('Mapa final'!$AA$47="Alta",'Mapa final'!$AC$47="Mayor"),CONCATENATE("R7C",'Mapa final'!$Q$47),"")</f>
        <v/>
      </c>
      <c r="AE22" s="44" t="str">
        <f>IF(AND('Mapa final'!$AA$48="Alta",'Mapa final'!$AC$48="Mayor"),CONCATENATE("R7C",'Mapa final'!$Q$48),"")</f>
        <v/>
      </c>
      <c r="AF22" s="44" t="str">
        <f>IF(AND('Mapa final'!$AA$49="Alta",'Mapa final'!$AC$49="Mayor"),CONCATENATE("R7C",'Mapa final'!$Q$49),"")</f>
        <v/>
      </c>
      <c r="AG22" s="40" t="str">
        <f>IF(AND('Mapa final'!$AA$50="Alta",'Mapa final'!$AC$50="Mayor"),CONCATENATE("R7C",'Mapa final'!$Q$50),"")</f>
        <v/>
      </c>
      <c r="AH22" s="41" t="str">
        <f>IF(AND('Mapa final'!$AA$45="Alta",'Mapa final'!$AC$45="Catastrófico"),CONCATENATE("R7C",'Mapa final'!$Q$45),"")</f>
        <v/>
      </c>
      <c r="AI22" s="42" t="str">
        <f>IF(AND('Mapa final'!$AA$46="Alta",'Mapa final'!$AC$46="Catastrófico"),CONCATENATE("R7C",'Mapa final'!$Q$46),"")</f>
        <v/>
      </c>
      <c r="AJ22" s="42" t="str">
        <f>IF(AND('Mapa final'!$AA$47="Alta",'Mapa final'!$AC$47="Catastrófico"),CONCATENATE("R7C",'Mapa final'!$Q$47),"")</f>
        <v/>
      </c>
      <c r="AK22" s="42" t="str">
        <f>IF(AND('Mapa final'!$AA$48="Alta",'Mapa final'!$AC$48="Catastrófico"),CONCATENATE("R7C",'Mapa final'!$Q$48),"")</f>
        <v/>
      </c>
      <c r="AL22" s="42" t="str">
        <f>IF(AND('Mapa final'!$AA$49="Alta",'Mapa final'!$AC$49="Catastrófico"),CONCATENATE("R7C",'Mapa final'!$Q$49),"")</f>
        <v/>
      </c>
      <c r="AM22" s="43" t="str">
        <f>IF(AND('Mapa final'!$AA$50="Alta",'Mapa final'!$AC$50="Catastrófico"),CONCATENATE("R7C",'Mapa final'!$Q$50),"")</f>
        <v/>
      </c>
      <c r="AN22" s="70"/>
      <c r="AO22" s="330"/>
      <c r="AP22" s="331"/>
      <c r="AQ22" s="331"/>
      <c r="AR22" s="331"/>
      <c r="AS22" s="331"/>
      <c r="AT22" s="332"/>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39"/>
      <c r="C23" s="239"/>
      <c r="D23" s="240"/>
      <c r="E23" s="340"/>
      <c r="F23" s="341"/>
      <c r="G23" s="341"/>
      <c r="H23" s="341"/>
      <c r="I23" s="339"/>
      <c r="J23" s="54" t="str">
        <f>IF(AND('Mapa final'!$AA$51="Alta",'Mapa final'!$AC$51="Leve"),CONCATENATE("R8C",'Mapa final'!$Q$51),"")</f>
        <v/>
      </c>
      <c r="K23" s="55" t="str">
        <f>IF(AND('Mapa final'!$AA$52="Alta",'Mapa final'!$AC$52="Leve"),CONCATENATE("R8C",'Mapa final'!$Q$52),"")</f>
        <v/>
      </c>
      <c r="L23" s="55" t="str">
        <f>IF(AND('Mapa final'!$AA$53="Alta",'Mapa final'!$AC$53="Leve"),CONCATENATE("R8C",'Mapa final'!$Q$53),"")</f>
        <v/>
      </c>
      <c r="M23" s="55" t="str">
        <f>IF(AND('Mapa final'!$AA$54="Alta",'Mapa final'!$AC$54="Leve"),CONCATENATE("R8C",'Mapa final'!$Q$54),"")</f>
        <v/>
      </c>
      <c r="N23" s="55" t="str">
        <f>IF(AND('Mapa final'!$AA$55="Alta",'Mapa final'!$AC$55="Leve"),CONCATENATE("R8C",'Mapa final'!$Q$55),"")</f>
        <v/>
      </c>
      <c r="O23" s="56" t="str">
        <f>IF(AND('Mapa final'!$AA$56="Alta",'Mapa final'!$AC$56="Leve"),CONCATENATE("R8C",'Mapa final'!$Q$56),"")</f>
        <v/>
      </c>
      <c r="P23" s="54" t="str">
        <f>IF(AND('Mapa final'!$AA$51="Alta",'Mapa final'!$AC$51="Menor"),CONCATENATE("R8C",'Mapa final'!$Q$51),"")</f>
        <v/>
      </c>
      <c r="Q23" s="55" t="str">
        <f>IF(AND('Mapa final'!$AA$52="Alta",'Mapa final'!$AC$52="Menor"),CONCATENATE("R8C",'Mapa final'!$Q$52),"")</f>
        <v/>
      </c>
      <c r="R23" s="55" t="str">
        <f>IF(AND('Mapa final'!$AA$53="Alta",'Mapa final'!$AC$53="Menor"),CONCATENATE("R8C",'Mapa final'!$Q$53),"")</f>
        <v/>
      </c>
      <c r="S23" s="55" t="str">
        <f>IF(AND('Mapa final'!$AA$54="Alta",'Mapa final'!$AC$54="Menor"),CONCATENATE("R8C",'Mapa final'!$Q$54),"")</f>
        <v/>
      </c>
      <c r="T23" s="55" t="str">
        <f>IF(AND('Mapa final'!$AA$55="Alta",'Mapa final'!$AC$55="Menor"),CONCATENATE("R8C",'Mapa final'!$Q$55),"")</f>
        <v/>
      </c>
      <c r="U23" s="56" t="str">
        <f>IF(AND('Mapa final'!$AA$56="Alta",'Mapa final'!$AC$56="Menor"),CONCATENATE("R8C",'Mapa final'!$Q$56),"")</f>
        <v/>
      </c>
      <c r="V23" s="38" t="str">
        <f>IF(AND('Mapa final'!$AA$51="Alta",'Mapa final'!$AC$51="Moderado"),CONCATENATE("R8C",'Mapa final'!$Q$51),"")</f>
        <v/>
      </c>
      <c r="W23" s="39" t="str">
        <f>IF(AND('Mapa final'!$AA$52="Alta",'Mapa final'!$AC$52="Moderado"),CONCATENATE("R8C",'Mapa final'!$Q$52),"")</f>
        <v/>
      </c>
      <c r="X23" s="44" t="str">
        <f>IF(AND('Mapa final'!$AA$53="Alta",'Mapa final'!$AC$53="Moderado"),CONCATENATE("R8C",'Mapa final'!$Q$53),"")</f>
        <v/>
      </c>
      <c r="Y23" s="44" t="str">
        <f>IF(AND('Mapa final'!$AA$54="Alta",'Mapa final'!$AC$54="Moderado"),CONCATENATE("R8C",'Mapa final'!$Q$54),"")</f>
        <v/>
      </c>
      <c r="Z23" s="44" t="str">
        <f>IF(AND('Mapa final'!$AA$55="Alta",'Mapa final'!$AC$55="Moderado"),CONCATENATE("R8C",'Mapa final'!$Q$55),"")</f>
        <v/>
      </c>
      <c r="AA23" s="40" t="str">
        <f>IF(AND('Mapa final'!$AA$56="Alta",'Mapa final'!$AC$56="Moderado"),CONCATENATE("R8C",'Mapa final'!$Q$56),"")</f>
        <v/>
      </c>
      <c r="AB23" s="38" t="str">
        <f>IF(AND('Mapa final'!$AA$51="Alta",'Mapa final'!$AC$51="Mayor"),CONCATENATE("R8C",'Mapa final'!$Q$51),"")</f>
        <v/>
      </c>
      <c r="AC23" s="39" t="str">
        <f>IF(AND('Mapa final'!$AA$52="Alta",'Mapa final'!$AC$52="Mayor"),CONCATENATE("R8C",'Mapa final'!$Q$52),"")</f>
        <v/>
      </c>
      <c r="AD23" s="44" t="str">
        <f>IF(AND('Mapa final'!$AA$53="Alta",'Mapa final'!$AC$53="Mayor"),CONCATENATE("R8C",'Mapa final'!$Q$53),"")</f>
        <v/>
      </c>
      <c r="AE23" s="44" t="str">
        <f>IF(AND('Mapa final'!$AA$54="Alta",'Mapa final'!$AC$54="Mayor"),CONCATENATE("R8C",'Mapa final'!$Q$54),"")</f>
        <v/>
      </c>
      <c r="AF23" s="44" t="str">
        <f>IF(AND('Mapa final'!$AA$55="Alta",'Mapa final'!$AC$55="Mayor"),CONCATENATE("R8C",'Mapa final'!$Q$55),"")</f>
        <v/>
      </c>
      <c r="AG23" s="40" t="str">
        <f>IF(AND('Mapa final'!$AA$56="Alta",'Mapa final'!$AC$56="Mayor"),CONCATENATE("R8C",'Mapa final'!$Q$56),"")</f>
        <v/>
      </c>
      <c r="AH23" s="41" t="str">
        <f>IF(AND('Mapa final'!$AA$51="Alta",'Mapa final'!$AC$51="Catastrófico"),CONCATENATE("R8C",'Mapa final'!$Q$51),"")</f>
        <v/>
      </c>
      <c r="AI23" s="42" t="str">
        <f>IF(AND('Mapa final'!$AA$52="Alta",'Mapa final'!$AC$52="Catastrófico"),CONCATENATE("R8C",'Mapa final'!$Q$52),"")</f>
        <v/>
      </c>
      <c r="AJ23" s="42" t="str">
        <f>IF(AND('Mapa final'!$AA$53="Alta",'Mapa final'!$AC$53="Catastrófico"),CONCATENATE("R8C",'Mapa final'!$Q$53),"")</f>
        <v/>
      </c>
      <c r="AK23" s="42" t="str">
        <f>IF(AND('Mapa final'!$AA$54="Alta",'Mapa final'!$AC$54="Catastrófico"),CONCATENATE("R8C",'Mapa final'!$Q$54),"")</f>
        <v/>
      </c>
      <c r="AL23" s="42" t="str">
        <f>IF(AND('Mapa final'!$AA$55="Alta",'Mapa final'!$AC$55="Catastrófico"),CONCATENATE("R8C",'Mapa final'!$Q$55),"")</f>
        <v/>
      </c>
      <c r="AM23" s="43" t="str">
        <f>IF(AND('Mapa final'!$AA$56="Alta",'Mapa final'!$AC$56="Catastrófico"),CONCATENATE("R8C",'Mapa final'!$Q$56),"")</f>
        <v/>
      </c>
      <c r="AN23" s="70"/>
      <c r="AO23" s="330"/>
      <c r="AP23" s="331"/>
      <c r="AQ23" s="331"/>
      <c r="AR23" s="331"/>
      <c r="AS23" s="331"/>
      <c r="AT23" s="332"/>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39"/>
      <c r="C24" s="239"/>
      <c r="D24" s="240"/>
      <c r="E24" s="340"/>
      <c r="F24" s="341"/>
      <c r="G24" s="341"/>
      <c r="H24" s="341"/>
      <c r="I24" s="339"/>
      <c r="J24" s="54" t="str">
        <f>IF(AND('Mapa final'!$AA$57="Alta",'Mapa final'!$AC$57="Leve"),CONCATENATE("R9C",'Mapa final'!$Q$57),"")</f>
        <v/>
      </c>
      <c r="K24" s="55" t="str">
        <f>IF(AND('Mapa final'!$AA$58="Alta",'Mapa final'!$AC$58="Leve"),CONCATENATE("R9C",'Mapa final'!$Q$58),"")</f>
        <v/>
      </c>
      <c r="L24" s="55" t="str">
        <f>IF(AND('Mapa final'!$AA$59="Alta",'Mapa final'!$AC$59="Leve"),CONCATENATE("R9C",'Mapa final'!$Q$59),"")</f>
        <v/>
      </c>
      <c r="M24" s="55" t="str">
        <f>IF(AND('Mapa final'!$AA$60="Alta",'Mapa final'!$AC$60="Leve"),CONCATENATE("R9C",'Mapa final'!$Q$60),"")</f>
        <v/>
      </c>
      <c r="N24" s="55" t="str">
        <f>IF(AND('Mapa final'!$AA$61="Alta",'Mapa final'!$AC$61="Leve"),CONCATENATE("R9C",'Mapa final'!$Q$61),"")</f>
        <v/>
      </c>
      <c r="O24" s="56" t="str">
        <f>IF(AND('Mapa final'!$AA$62="Alta",'Mapa final'!$AC$62="Leve"),CONCATENATE("R9C",'Mapa final'!$Q$62),"")</f>
        <v/>
      </c>
      <c r="P24" s="54" t="str">
        <f>IF(AND('Mapa final'!$AA$57="Alta",'Mapa final'!$AC$57="Menor"),CONCATENATE("R9C",'Mapa final'!$Q$57),"")</f>
        <v/>
      </c>
      <c r="Q24" s="55" t="str">
        <f>IF(AND('Mapa final'!$AA$58="Alta",'Mapa final'!$AC$58="Menor"),CONCATENATE("R9C",'Mapa final'!$Q$58),"")</f>
        <v/>
      </c>
      <c r="R24" s="55" t="str">
        <f>IF(AND('Mapa final'!$AA$59="Alta",'Mapa final'!$AC$59="Menor"),CONCATENATE("R9C",'Mapa final'!$Q$59),"")</f>
        <v/>
      </c>
      <c r="S24" s="55" t="str">
        <f>IF(AND('Mapa final'!$AA$60="Alta",'Mapa final'!$AC$60="Menor"),CONCATENATE("R9C",'Mapa final'!$Q$60),"")</f>
        <v/>
      </c>
      <c r="T24" s="55" t="str">
        <f>IF(AND('Mapa final'!$AA$61="Alta",'Mapa final'!$AC$61="Menor"),CONCATENATE("R9C",'Mapa final'!$Q$61),"")</f>
        <v/>
      </c>
      <c r="U24" s="56" t="str">
        <f>IF(AND('Mapa final'!$AA$62="Alta",'Mapa final'!$AC$62="Menor"),CONCATENATE("R9C",'Mapa final'!$Q$62),"")</f>
        <v/>
      </c>
      <c r="V24" s="38" t="str">
        <f>IF(AND('Mapa final'!$AA$57="Alta",'Mapa final'!$AC$57="Moderado"),CONCATENATE("R9C",'Mapa final'!$Q$57),"")</f>
        <v/>
      </c>
      <c r="W24" s="39" t="str">
        <f>IF(AND('Mapa final'!$AA$58="Alta",'Mapa final'!$AC$58="Moderado"),CONCATENATE("R9C",'Mapa final'!$Q$58),"")</f>
        <v/>
      </c>
      <c r="X24" s="44" t="str">
        <f>IF(AND('Mapa final'!$AA$59="Alta",'Mapa final'!$AC$59="Moderado"),CONCATENATE("R9C",'Mapa final'!$Q$59),"")</f>
        <v/>
      </c>
      <c r="Y24" s="44" t="str">
        <f>IF(AND('Mapa final'!$AA$60="Alta",'Mapa final'!$AC$60="Moderado"),CONCATENATE("R9C",'Mapa final'!$Q$60),"")</f>
        <v/>
      </c>
      <c r="Z24" s="44" t="str">
        <f>IF(AND('Mapa final'!$AA$61="Alta",'Mapa final'!$AC$61="Moderado"),CONCATENATE("R9C",'Mapa final'!$Q$61),"")</f>
        <v/>
      </c>
      <c r="AA24" s="40" t="str">
        <f>IF(AND('Mapa final'!$AA$62="Alta",'Mapa final'!$AC$62="Moderado"),CONCATENATE("R9C",'Mapa final'!$Q$62),"")</f>
        <v/>
      </c>
      <c r="AB24" s="38" t="str">
        <f>IF(AND('Mapa final'!$AA$57="Alta",'Mapa final'!$AC$57="Mayor"),CONCATENATE("R9C",'Mapa final'!$Q$57),"")</f>
        <v/>
      </c>
      <c r="AC24" s="39" t="str">
        <f>IF(AND('Mapa final'!$AA$58="Alta",'Mapa final'!$AC$58="Mayor"),CONCATENATE("R9C",'Mapa final'!$Q$58),"")</f>
        <v/>
      </c>
      <c r="AD24" s="44" t="str">
        <f>IF(AND('Mapa final'!$AA$59="Alta",'Mapa final'!$AC$59="Mayor"),CONCATENATE("R9C",'Mapa final'!$Q$59),"")</f>
        <v/>
      </c>
      <c r="AE24" s="44" t="str">
        <f>IF(AND('Mapa final'!$AA$60="Alta",'Mapa final'!$AC$60="Mayor"),CONCATENATE("R9C",'Mapa final'!$Q$60),"")</f>
        <v/>
      </c>
      <c r="AF24" s="44" t="str">
        <f>IF(AND('Mapa final'!$AA$61="Alta",'Mapa final'!$AC$61="Mayor"),CONCATENATE("R9C",'Mapa final'!$Q$61),"")</f>
        <v/>
      </c>
      <c r="AG24" s="40" t="str">
        <f>IF(AND('Mapa final'!$AA$62="Alta",'Mapa final'!$AC$62="Mayor"),CONCATENATE("R9C",'Mapa final'!$Q$62),"")</f>
        <v/>
      </c>
      <c r="AH24" s="41" t="str">
        <f>IF(AND('Mapa final'!$AA$57="Alta",'Mapa final'!$AC$57="Catastrófico"),CONCATENATE("R9C",'Mapa final'!$Q$57),"")</f>
        <v/>
      </c>
      <c r="AI24" s="42" t="str">
        <f>IF(AND('Mapa final'!$AA$58="Alta",'Mapa final'!$AC$58="Catastrófico"),CONCATENATE("R9C",'Mapa final'!$Q$58),"")</f>
        <v/>
      </c>
      <c r="AJ24" s="42" t="str">
        <f>IF(AND('Mapa final'!$AA$59="Alta",'Mapa final'!$AC$59="Catastrófico"),CONCATENATE("R9C",'Mapa final'!$Q$59),"")</f>
        <v/>
      </c>
      <c r="AK24" s="42" t="str">
        <f>IF(AND('Mapa final'!$AA$60="Alta",'Mapa final'!$AC$60="Catastrófico"),CONCATENATE("R9C",'Mapa final'!$Q$60),"")</f>
        <v/>
      </c>
      <c r="AL24" s="42" t="str">
        <f>IF(AND('Mapa final'!$AA$61="Alta",'Mapa final'!$AC$61="Catastrófico"),CONCATENATE("R9C",'Mapa final'!$Q$61),"")</f>
        <v/>
      </c>
      <c r="AM24" s="43" t="str">
        <f>IF(AND('Mapa final'!$AA$62="Alta",'Mapa final'!$AC$62="Catastrófico"),CONCATENATE("R9C",'Mapa final'!$Q$62),"")</f>
        <v/>
      </c>
      <c r="AN24" s="70"/>
      <c r="AO24" s="330"/>
      <c r="AP24" s="331"/>
      <c r="AQ24" s="331"/>
      <c r="AR24" s="331"/>
      <c r="AS24" s="331"/>
      <c r="AT24" s="332"/>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39"/>
      <c r="C25" s="239"/>
      <c r="D25" s="240"/>
      <c r="E25" s="342"/>
      <c r="F25" s="343"/>
      <c r="G25" s="343"/>
      <c r="H25" s="343"/>
      <c r="I25" s="343"/>
      <c r="J25" s="57" t="str">
        <f>IF(AND('Mapa final'!$AA$63="Alta",'Mapa final'!$AC$63="Leve"),CONCATENATE("R10C",'Mapa final'!$Q$63),"")</f>
        <v/>
      </c>
      <c r="K25" s="58" t="str">
        <f>IF(AND('Mapa final'!$AA$64="Alta",'Mapa final'!$AC$64="Leve"),CONCATENATE("R10C",'Mapa final'!$Q$64),"")</f>
        <v/>
      </c>
      <c r="L25" s="58" t="str">
        <f>IF(AND('Mapa final'!$AA$65="Alta",'Mapa final'!$AC$65="Leve"),CONCATENATE("R10C",'Mapa final'!$Q$65),"")</f>
        <v/>
      </c>
      <c r="M25" s="58" t="str">
        <f>IF(AND('Mapa final'!$AA$66="Alta",'Mapa final'!$AC$66="Leve"),CONCATENATE("R10C",'Mapa final'!$Q$66),"")</f>
        <v/>
      </c>
      <c r="N25" s="58" t="str">
        <f>IF(AND('Mapa final'!$AA$67="Alta",'Mapa final'!$AC$67="Leve"),CONCATENATE("R10C",'Mapa final'!$Q$67),"")</f>
        <v/>
      </c>
      <c r="O25" s="59" t="str">
        <f>IF(AND('Mapa final'!$AA$68="Alta",'Mapa final'!$AC$68="Leve"),CONCATENATE("R10C",'Mapa final'!$Q$68),"")</f>
        <v/>
      </c>
      <c r="P25" s="57" t="str">
        <f>IF(AND('Mapa final'!$AA$63="Alta",'Mapa final'!$AC$63="Menor"),CONCATENATE("R10C",'Mapa final'!$Q$63),"")</f>
        <v/>
      </c>
      <c r="Q25" s="58" t="str">
        <f>IF(AND('Mapa final'!$AA$64="Alta",'Mapa final'!$AC$64="Menor"),CONCATENATE("R10C",'Mapa final'!$Q$64),"")</f>
        <v/>
      </c>
      <c r="R25" s="58" t="str">
        <f>IF(AND('Mapa final'!$AA$65="Alta",'Mapa final'!$AC$65="Menor"),CONCATENATE("R10C",'Mapa final'!$Q$65),"")</f>
        <v/>
      </c>
      <c r="S25" s="58" t="str">
        <f>IF(AND('Mapa final'!$AA$66="Alta",'Mapa final'!$AC$66="Menor"),CONCATENATE("R10C",'Mapa final'!$Q$66),"")</f>
        <v/>
      </c>
      <c r="T25" s="58" t="str">
        <f>IF(AND('Mapa final'!$AA$67="Alta",'Mapa final'!$AC$67="Menor"),CONCATENATE("R10C",'Mapa final'!$Q$67),"")</f>
        <v/>
      </c>
      <c r="U25" s="59" t="str">
        <f>IF(AND('Mapa final'!$AA$68="Alta",'Mapa final'!$AC$68="Menor"),CONCATENATE("R10C",'Mapa final'!$Q$68),"")</f>
        <v/>
      </c>
      <c r="V25" s="45" t="str">
        <f>IF(AND('Mapa final'!$AA$63="Alta",'Mapa final'!$AC$63="Moderado"),CONCATENATE("R10C",'Mapa final'!$Q$63),"")</f>
        <v/>
      </c>
      <c r="W25" s="46" t="str">
        <f>IF(AND('Mapa final'!$AA$64="Alta",'Mapa final'!$AC$64="Moderado"),CONCATENATE("R10C",'Mapa final'!$Q$64),"")</f>
        <v/>
      </c>
      <c r="X25" s="46" t="str">
        <f>IF(AND('Mapa final'!$AA$65="Alta",'Mapa final'!$AC$65="Moderado"),CONCATENATE("R10C",'Mapa final'!$Q$65),"")</f>
        <v/>
      </c>
      <c r="Y25" s="46" t="str">
        <f>IF(AND('Mapa final'!$AA$66="Alta",'Mapa final'!$AC$66="Moderado"),CONCATENATE("R10C",'Mapa final'!$Q$66),"")</f>
        <v/>
      </c>
      <c r="Z25" s="46" t="str">
        <f>IF(AND('Mapa final'!$AA$67="Alta",'Mapa final'!$AC$67="Moderado"),CONCATENATE("R10C",'Mapa final'!$Q$67),"")</f>
        <v/>
      </c>
      <c r="AA25" s="47" t="str">
        <f>IF(AND('Mapa final'!$AA$68="Alta",'Mapa final'!$AC$68="Moderado"),CONCATENATE("R10C",'Mapa final'!$Q$68),"")</f>
        <v/>
      </c>
      <c r="AB25" s="45" t="str">
        <f>IF(AND('Mapa final'!$AA$63="Alta",'Mapa final'!$AC$63="Mayor"),CONCATENATE("R10C",'Mapa final'!$Q$63),"")</f>
        <v/>
      </c>
      <c r="AC25" s="46" t="str">
        <f>IF(AND('Mapa final'!$AA$64="Alta",'Mapa final'!$AC$64="Mayor"),CONCATENATE("R10C",'Mapa final'!$Q$64),"")</f>
        <v/>
      </c>
      <c r="AD25" s="46" t="str">
        <f>IF(AND('Mapa final'!$AA$65="Alta",'Mapa final'!$AC$65="Mayor"),CONCATENATE("R10C",'Mapa final'!$Q$65),"")</f>
        <v/>
      </c>
      <c r="AE25" s="46" t="str">
        <f>IF(AND('Mapa final'!$AA$66="Alta",'Mapa final'!$AC$66="Mayor"),CONCATENATE("R10C",'Mapa final'!$Q$66),"")</f>
        <v/>
      </c>
      <c r="AF25" s="46" t="str">
        <f>IF(AND('Mapa final'!$AA$67="Alta",'Mapa final'!$AC$67="Mayor"),CONCATENATE("R10C",'Mapa final'!$Q$67),"")</f>
        <v/>
      </c>
      <c r="AG25" s="47" t="str">
        <f>IF(AND('Mapa final'!$AA$68="Alta",'Mapa final'!$AC$68="Mayor"),CONCATENATE("R10C",'Mapa final'!$Q$68),"")</f>
        <v/>
      </c>
      <c r="AH25" s="48" t="str">
        <f>IF(AND('Mapa final'!$AA$63="Alta",'Mapa final'!$AC$63="Catastrófico"),CONCATENATE("R10C",'Mapa final'!$Q$63),"")</f>
        <v/>
      </c>
      <c r="AI25" s="49" t="str">
        <f>IF(AND('Mapa final'!$AA$64="Alta",'Mapa final'!$AC$64="Catastrófico"),CONCATENATE("R10C",'Mapa final'!$Q$64),"")</f>
        <v/>
      </c>
      <c r="AJ25" s="49" t="str">
        <f>IF(AND('Mapa final'!$AA$65="Alta",'Mapa final'!$AC$65="Catastrófico"),CONCATENATE("R10C",'Mapa final'!$Q$65),"")</f>
        <v/>
      </c>
      <c r="AK25" s="49" t="str">
        <f>IF(AND('Mapa final'!$AA$66="Alta",'Mapa final'!$AC$66="Catastrófico"),CONCATENATE("R10C",'Mapa final'!$Q$66),"")</f>
        <v/>
      </c>
      <c r="AL25" s="49" t="str">
        <f>IF(AND('Mapa final'!$AA$67="Alta",'Mapa final'!$AC$67="Catastrófico"),CONCATENATE("R10C",'Mapa final'!$Q$67),"")</f>
        <v/>
      </c>
      <c r="AM25" s="50" t="str">
        <f>IF(AND('Mapa final'!$AA$68="Alta",'Mapa final'!$AC$68="Catastrófico"),CONCATENATE("R10C",'Mapa final'!$Q$68),"")</f>
        <v/>
      </c>
      <c r="AN25" s="70"/>
      <c r="AO25" s="333"/>
      <c r="AP25" s="334"/>
      <c r="AQ25" s="334"/>
      <c r="AR25" s="334"/>
      <c r="AS25" s="334"/>
      <c r="AT25" s="335"/>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39"/>
      <c r="C26" s="239"/>
      <c r="D26" s="240"/>
      <c r="E26" s="336" t="s">
        <v>113</v>
      </c>
      <c r="F26" s="337"/>
      <c r="G26" s="337"/>
      <c r="H26" s="337"/>
      <c r="I26" s="355"/>
      <c r="J26" s="51" t="str">
        <f>IF(AND('Mapa final'!$AA$9="Media",'Mapa final'!$AC$9="Leve"),CONCATENATE("R1C",'Mapa final'!$Q$9),"")</f>
        <v/>
      </c>
      <c r="K26" s="52" t="str">
        <f>IF(AND('Mapa final'!$AA$10="Media",'Mapa final'!$AC$10="Leve"),CONCATENATE("R1C",'Mapa final'!$Q$10),"")</f>
        <v/>
      </c>
      <c r="L26" s="52" t="str">
        <f>IF(AND('Mapa final'!$AA$11="Media",'Mapa final'!$AC$11="Leve"),CONCATENATE("R1C",'Mapa final'!$Q$11),"")</f>
        <v/>
      </c>
      <c r="M26" s="52" t="str">
        <f>IF(AND('Mapa final'!$AA$12="Media",'Mapa final'!$AC$12="Leve"),CONCATENATE("R1C",'Mapa final'!$Q$12),"")</f>
        <v/>
      </c>
      <c r="N26" s="52" t="str">
        <f>IF(AND('Mapa final'!$AA$13="Media",'Mapa final'!$AC$13="Leve"),CONCATENATE("R1C",'Mapa final'!$Q$13),"")</f>
        <v/>
      </c>
      <c r="O26" s="53" t="str">
        <f>IF(AND('Mapa final'!$AA$14="Media",'Mapa final'!$AC$14="Leve"),CONCATENATE("R1C",'Mapa final'!$Q$14),"")</f>
        <v/>
      </c>
      <c r="P26" s="51" t="str">
        <f>IF(AND('Mapa final'!$AA$9="Media",'Mapa final'!$AC$9="Menor"),CONCATENATE("R1C",'Mapa final'!$Q$9),"")</f>
        <v/>
      </c>
      <c r="Q26" s="52" t="str">
        <f>IF(AND('Mapa final'!$AA$10="Media",'Mapa final'!$AC$10="Menor"),CONCATENATE("R1C",'Mapa final'!$Q$10),"")</f>
        <v/>
      </c>
      <c r="R26" s="52" t="str">
        <f>IF(AND('Mapa final'!$AA$11="Media",'Mapa final'!$AC$11="Menor"),CONCATENATE("R1C",'Mapa final'!$Q$11),"")</f>
        <v/>
      </c>
      <c r="S26" s="52" t="str">
        <f>IF(AND('Mapa final'!$AA$12="Media",'Mapa final'!$AC$12="Menor"),CONCATENATE("R1C",'Mapa final'!$Q$12),"")</f>
        <v/>
      </c>
      <c r="T26" s="52" t="str">
        <f>IF(AND('Mapa final'!$AA$13="Media",'Mapa final'!$AC$13="Menor"),CONCATENATE("R1C",'Mapa final'!$Q$13),"")</f>
        <v/>
      </c>
      <c r="U26" s="53" t="str">
        <f>IF(AND('Mapa final'!$AA$14="Media",'Mapa final'!$AC$14="Menor"),CONCATENATE("R1C",'Mapa final'!$Q$14),"")</f>
        <v/>
      </c>
      <c r="V26" s="51" t="str">
        <f>IF(AND('Mapa final'!$AA$9="Media",'Mapa final'!$AC$9="Moderado"),CONCATENATE("R1C",'Mapa final'!$Q$9),"")</f>
        <v/>
      </c>
      <c r="W26" s="52" t="str">
        <f>IF(AND('Mapa final'!$AA$10="Media",'Mapa final'!$AC$10="Moderado"),CONCATENATE("R1C",'Mapa final'!$Q$10),"")</f>
        <v/>
      </c>
      <c r="X26" s="52" t="str">
        <f>IF(AND('Mapa final'!$AA$11="Media",'Mapa final'!$AC$11="Moderado"),CONCATENATE("R1C",'Mapa final'!$Q$11),"")</f>
        <v/>
      </c>
      <c r="Y26" s="52" t="str">
        <f>IF(AND('Mapa final'!$AA$12="Media",'Mapa final'!$AC$12="Moderado"),CONCATENATE("R1C",'Mapa final'!$Q$12),"")</f>
        <v/>
      </c>
      <c r="Z26" s="52" t="str">
        <f>IF(AND('Mapa final'!$AA$13="Media",'Mapa final'!$AC$13="Moderado"),CONCATENATE("R1C",'Mapa final'!$Q$13),"")</f>
        <v/>
      </c>
      <c r="AA26" s="53" t="str">
        <f>IF(AND('Mapa final'!$AA$14="Media",'Mapa final'!$AC$14="Moderado"),CONCATENATE("R1C",'Mapa final'!$Q$14),"")</f>
        <v/>
      </c>
      <c r="AB26" s="32" t="str">
        <f>IF(AND('Mapa final'!$AA$9="Media",'Mapa final'!$AC$9="Mayor"),CONCATENATE("R1C",'Mapa final'!$Q$9),"")</f>
        <v/>
      </c>
      <c r="AC26" s="33" t="str">
        <f>IF(AND('Mapa final'!$AA$10="Media",'Mapa final'!$AC$10="Mayor"),CONCATENATE("R1C",'Mapa final'!$Q$10),"")</f>
        <v/>
      </c>
      <c r="AD26" s="33" t="str">
        <f>IF(AND('Mapa final'!$AA$11="Media",'Mapa final'!$AC$11="Mayor"),CONCATENATE("R1C",'Mapa final'!$Q$11),"")</f>
        <v/>
      </c>
      <c r="AE26" s="33" t="str">
        <f>IF(AND('Mapa final'!$AA$12="Media",'Mapa final'!$AC$12="Mayor"),CONCATENATE("R1C",'Mapa final'!$Q$12),"")</f>
        <v/>
      </c>
      <c r="AF26" s="33" t="str">
        <f>IF(AND('Mapa final'!$AA$13="Media",'Mapa final'!$AC$13="Mayor"),CONCATENATE("R1C",'Mapa final'!$Q$13),"")</f>
        <v/>
      </c>
      <c r="AG26" s="34" t="str">
        <f>IF(AND('Mapa final'!$AA$14="Media",'Mapa final'!$AC$14="Mayor"),CONCATENATE("R1C",'Mapa final'!$Q$14),"")</f>
        <v/>
      </c>
      <c r="AH26" s="35" t="str">
        <f>IF(AND('Mapa final'!$AA$9="Media",'Mapa final'!$AC$9="Catastrófico"),CONCATENATE("R1C",'Mapa final'!$Q$9),"")</f>
        <v/>
      </c>
      <c r="AI26" s="36" t="str">
        <f>IF(AND('Mapa final'!$AA$10="Media",'Mapa final'!$AC$10="Catastrófico"),CONCATENATE("R1C",'Mapa final'!$Q$10),"")</f>
        <v/>
      </c>
      <c r="AJ26" s="36" t="str">
        <f>IF(AND('Mapa final'!$AA$11="Media",'Mapa final'!$AC$11="Catastrófico"),CONCATENATE("R1C",'Mapa final'!$Q$11),"")</f>
        <v/>
      </c>
      <c r="AK26" s="36" t="str">
        <f>IF(AND('Mapa final'!$AA$12="Media",'Mapa final'!$AC$12="Catastrófico"),CONCATENATE("R1C",'Mapa final'!$Q$12),"")</f>
        <v/>
      </c>
      <c r="AL26" s="36" t="str">
        <f>IF(AND('Mapa final'!$AA$13="Media",'Mapa final'!$AC$13="Catastrófico"),CONCATENATE("R1C",'Mapa final'!$Q$13),"")</f>
        <v/>
      </c>
      <c r="AM26" s="37" t="str">
        <f>IF(AND('Mapa final'!$AA$14="Media",'Mapa final'!$AC$14="Catastrófico"),CONCATENATE("R1C",'Mapa final'!$Q$14),"")</f>
        <v/>
      </c>
      <c r="AN26" s="70"/>
      <c r="AO26" s="367" t="s">
        <v>77</v>
      </c>
      <c r="AP26" s="368"/>
      <c r="AQ26" s="368"/>
      <c r="AR26" s="368"/>
      <c r="AS26" s="368"/>
      <c r="AT26" s="369"/>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39"/>
      <c r="C27" s="239"/>
      <c r="D27" s="240"/>
      <c r="E27" s="338"/>
      <c r="F27" s="339"/>
      <c r="G27" s="339"/>
      <c r="H27" s="339"/>
      <c r="I27" s="356"/>
      <c r="J27" s="54" t="str">
        <f>IF(AND('Mapa final'!$AA$15="Media",'Mapa final'!$AC$15="Leve"),CONCATENATE("R2C",'Mapa final'!$Q$15),"")</f>
        <v>R2C1</v>
      </c>
      <c r="K27" s="55" t="str">
        <f>IF(AND('Mapa final'!$AA$16="Media",'Mapa final'!$AC$16="Leve"),CONCATENATE("R2C",'Mapa final'!$Q$16),"")</f>
        <v/>
      </c>
      <c r="L27" s="55" t="str">
        <f>IF(AND('Mapa final'!$AA$17="Media",'Mapa final'!$AC$17="Leve"),CONCATENATE("R2C",'Mapa final'!$Q$17),"")</f>
        <v/>
      </c>
      <c r="M27" s="55" t="str">
        <f>IF(AND('Mapa final'!$AA$18="Media",'Mapa final'!$AC$18="Leve"),CONCATENATE("R2C",'Mapa final'!$Q$18),"")</f>
        <v/>
      </c>
      <c r="N27" s="55" t="str">
        <f>IF(AND('Mapa final'!$AA$19="Media",'Mapa final'!$AC$19="Leve"),CONCATENATE("R2C",'Mapa final'!$Q$19),"")</f>
        <v/>
      </c>
      <c r="O27" s="56" t="str">
        <f>IF(AND('Mapa final'!$AA$20="Media",'Mapa final'!$AC$20="Leve"),CONCATENATE("R2C",'Mapa final'!$Q$20),"")</f>
        <v/>
      </c>
      <c r="P27" s="54" t="str">
        <f>IF(AND('Mapa final'!$AA$15="Media",'Mapa final'!$AC$15="Menor"),CONCATENATE("R2C",'Mapa final'!$Q$15),"")</f>
        <v/>
      </c>
      <c r="Q27" s="55" t="str">
        <f>IF(AND('Mapa final'!$AA$16="Media",'Mapa final'!$AC$16="Menor"),CONCATENATE("R2C",'Mapa final'!$Q$16),"")</f>
        <v/>
      </c>
      <c r="R27" s="55" t="str">
        <f>IF(AND('Mapa final'!$AA$17="Media",'Mapa final'!$AC$17="Menor"),CONCATENATE("R2C",'Mapa final'!$Q$17),"")</f>
        <v/>
      </c>
      <c r="S27" s="55" t="str">
        <f>IF(AND('Mapa final'!$AA$18="Media",'Mapa final'!$AC$18="Menor"),CONCATENATE("R2C",'Mapa final'!$Q$18),"")</f>
        <v/>
      </c>
      <c r="T27" s="55" t="str">
        <f>IF(AND('Mapa final'!$AA$19="Media",'Mapa final'!$AC$19="Menor"),CONCATENATE("R2C",'Mapa final'!$Q$19),"")</f>
        <v/>
      </c>
      <c r="U27" s="56" t="str">
        <f>IF(AND('Mapa final'!$AA$20="Media",'Mapa final'!$AC$20="Menor"),CONCATENATE("R2C",'Mapa final'!$Q$20),"")</f>
        <v/>
      </c>
      <c r="V27" s="54" t="str">
        <f>IF(AND('Mapa final'!$AA$15="Media",'Mapa final'!$AC$15="Moderado"),CONCATENATE("R2C",'Mapa final'!$Q$15),"")</f>
        <v/>
      </c>
      <c r="W27" s="55" t="str">
        <f>IF(AND('Mapa final'!$AA$16="Media",'Mapa final'!$AC$16="Moderado"),CONCATENATE("R2C",'Mapa final'!$Q$16),"")</f>
        <v/>
      </c>
      <c r="X27" s="55" t="str">
        <f>IF(AND('Mapa final'!$AA$17="Media",'Mapa final'!$AC$17="Moderado"),CONCATENATE("R2C",'Mapa final'!$Q$17),"")</f>
        <v/>
      </c>
      <c r="Y27" s="55" t="str">
        <f>IF(AND('Mapa final'!$AA$18="Media",'Mapa final'!$AC$18="Moderado"),CONCATENATE("R2C",'Mapa final'!$Q$18),"")</f>
        <v/>
      </c>
      <c r="Z27" s="55" t="str">
        <f>IF(AND('Mapa final'!$AA$19="Media",'Mapa final'!$AC$19="Moderado"),CONCATENATE("R2C",'Mapa final'!$Q$19),"")</f>
        <v/>
      </c>
      <c r="AA27" s="56" t="str">
        <f>IF(AND('Mapa final'!$AA$20="Media",'Mapa final'!$AC$20="Moderado"),CONCATENATE("R2C",'Mapa final'!$Q$20),"")</f>
        <v/>
      </c>
      <c r="AB27" s="38" t="str">
        <f>IF(AND('Mapa final'!$AA$15="Media",'Mapa final'!$AC$15="Mayor"),CONCATENATE("R2C",'Mapa final'!$Q$15),"")</f>
        <v/>
      </c>
      <c r="AC27" s="39" t="str">
        <f>IF(AND('Mapa final'!$AA$16="Media",'Mapa final'!$AC$16="Mayor"),CONCATENATE("R2C",'Mapa final'!$Q$16),"")</f>
        <v/>
      </c>
      <c r="AD27" s="39" t="str">
        <f>IF(AND('Mapa final'!$AA$17="Media",'Mapa final'!$AC$17="Mayor"),CONCATENATE("R2C",'Mapa final'!$Q$17),"")</f>
        <v/>
      </c>
      <c r="AE27" s="39" t="str">
        <f>IF(AND('Mapa final'!$AA$18="Media",'Mapa final'!$AC$18="Mayor"),CONCATENATE("R2C",'Mapa final'!$Q$18),"")</f>
        <v/>
      </c>
      <c r="AF27" s="39" t="str">
        <f>IF(AND('Mapa final'!$AA$19="Media",'Mapa final'!$AC$19="Mayor"),CONCATENATE("R2C",'Mapa final'!$Q$19),"")</f>
        <v/>
      </c>
      <c r="AG27" s="40" t="str">
        <f>IF(AND('Mapa final'!$AA$20="Media",'Mapa final'!$AC$20="Mayor"),CONCATENATE("R2C",'Mapa final'!$Q$20),"")</f>
        <v/>
      </c>
      <c r="AH27" s="41" t="str">
        <f>IF(AND('Mapa final'!$AA$15="Media",'Mapa final'!$AC$15="Catastrófico"),CONCATENATE("R2C",'Mapa final'!$Q$15),"")</f>
        <v/>
      </c>
      <c r="AI27" s="42" t="str">
        <f>IF(AND('Mapa final'!$AA$16="Media",'Mapa final'!$AC$16="Catastrófico"),CONCATENATE("R2C",'Mapa final'!$Q$16),"")</f>
        <v/>
      </c>
      <c r="AJ27" s="42" t="str">
        <f>IF(AND('Mapa final'!$AA$17="Media",'Mapa final'!$AC$17="Catastrófico"),CONCATENATE("R2C",'Mapa final'!$Q$17),"")</f>
        <v/>
      </c>
      <c r="AK27" s="42" t="str">
        <f>IF(AND('Mapa final'!$AA$18="Media",'Mapa final'!$AC$18="Catastrófico"),CONCATENATE("R2C",'Mapa final'!$Q$18),"")</f>
        <v/>
      </c>
      <c r="AL27" s="42" t="str">
        <f>IF(AND('Mapa final'!$AA$19="Media",'Mapa final'!$AC$19="Catastrófico"),CONCATENATE("R2C",'Mapa final'!$Q$19),"")</f>
        <v/>
      </c>
      <c r="AM27" s="43" t="str">
        <f>IF(AND('Mapa final'!$AA$20="Media",'Mapa final'!$AC$20="Catastrófico"),CONCATENATE("R2C",'Mapa final'!$Q$20),"")</f>
        <v/>
      </c>
      <c r="AN27" s="70"/>
      <c r="AO27" s="370"/>
      <c r="AP27" s="371"/>
      <c r="AQ27" s="371"/>
      <c r="AR27" s="371"/>
      <c r="AS27" s="371"/>
      <c r="AT27" s="372"/>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39"/>
      <c r="C28" s="239"/>
      <c r="D28" s="240"/>
      <c r="E28" s="340"/>
      <c r="F28" s="341"/>
      <c r="G28" s="341"/>
      <c r="H28" s="341"/>
      <c r="I28" s="356"/>
      <c r="J28" s="54" t="str">
        <f>IF(AND('Mapa final'!$AA$21="Media",'Mapa final'!$AC$21="Leve"),CONCATENATE("R3C",'Mapa final'!$Q$21),"")</f>
        <v/>
      </c>
      <c r="K28" s="55" t="str">
        <f>IF(AND('Mapa final'!$AA$22="Media",'Mapa final'!$AC$22="Leve"),CONCATENATE("R3C",'Mapa final'!$Q$22),"")</f>
        <v/>
      </c>
      <c r="L28" s="55" t="str">
        <f>IF(AND('Mapa final'!$AA$23="Media",'Mapa final'!$AC$23="Leve"),CONCATENATE("R3C",'Mapa final'!$Q$23),"")</f>
        <v/>
      </c>
      <c r="M28" s="55" t="str">
        <f>IF(AND('Mapa final'!$AA$24="Media",'Mapa final'!$AC$24="Leve"),CONCATENATE("R3C",'Mapa final'!$Q$24),"")</f>
        <v/>
      </c>
      <c r="N28" s="55" t="str">
        <f>IF(AND('Mapa final'!$AA$25="Media",'Mapa final'!$AC$25="Leve"),CONCATENATE("R3C",'Mapa final'!$Q$25),"")</f>
        <v/>
      </c>
      <c r="O28" s="56" t="str">
        <f>IF(AND('Mapa final'!$AA$26="Media",'Mapa final'!$AC$26="Leve"),CONCATENATE("R3C",'Mapa final'!$Q$26),"")</f>
        <v/>
      </c>
      <c r="P28" s="54" t="str">
        <f>IF(AND('Mapa final'!$AA$21="Media",'Mapa final'!$AC$21="Menor"),CONCATENATE("R3C",'Mapa final'!$Q$21),"")</f>
        <v/>
      </c>
      <c r="Q28" s="55" t="str">
        <f>IF(AND('Mapa final'!$AA$22="Media",'Mapa final'!$AC$22="Menor"),CONCATENATE("R3C",'Mapa final'!$Q$22),"")</f>
        <v/>
      </c>
      <c r="R28" s="55" t="str">
        <f>IF(AND('Mapa final'!$AA$23="Media",'Mapa final'!$AC$23="Menor"),CONCATENATE("R3C",'Mapa final'!$Q$23),"")</f>
        <v/>
      </c>
      <c r="S28" s="55" t="str">
        <f>IF(AND('Mapa final'!$AA$24="Media",'Mapa final'!$AC$24="Menor"),CONCATENATE("R3C",'Mapa final'!$Q$24),"")</f>
        <v/>
      </c>
      <c r="T28" s="55" t="str">
        <f>IF(AND('Mapa final'!$AA$25="Media",'Mapa final'!$AC$25="Menor"),CONCATENATE("R3C",'Mapa final'!$Q$25),"")</f>
        <v/>
      </c>
      <c r="U28" s="56" t="str">
        <f>IF(AND('Mapa final'!$AA$26="Media",'Mapa final'!$AC$26="Menor"),CONCATENATE("R3C",'Mapa final'!$Q$26),"")</f>
        <v/>
      </c>
      <c r="V28" s="54" t="str">
        <f>IF(AND('Mapa final'!$AA$21="Media",'Mapa final'!$AC$21="Moderado"),CONCATENATE("R3C",'Mapa final'!$Q$21),"")</f>
        <v/>
      </c>
      <c r="W28" s="55" t="str">
        <f>IF(AND('Mapa final'!$AA$22="Media",'Mapa final'!$AC$22="Moderado"),CONCATENATE("R3C",'Mapa final'!$Q$22),"")</f>
        <v/>
      </c>
      <c r="X28" s="55" t="str">
        <f>IF(AND('Mapa final'!$AA$23="Media",'Mapa final'!$AC$23="Moderado"),CONCATENATE("R3C",'Mapa final'!$Q$23),"")</f>
        <v/>
      </c>
      <c r="Y28" s="55" t="str">
        <f>IF(AND('Mapa final'!$AA$24="Media",'Mapa final'!$AC$24="Moderado"),CONCATENATE("R3C",'Mapa final'!$Q$24),"")</f>
        <v/>
      </c>
      <c r="Z28" s="55" t="str">
        <f>IF(AND('Mapa final'!$AA$25="Media",'Mapa final'!$AC$25="Moderado"),CONCATENATE("R3C",'Mapa final'!$Q$25),"")</f>
        <v/>
      </c>
      <c r="AA28" s="56" t="str">
        <f>IF(AND('Mapa final'!$AA$26="Media",'Mapa final'!$AC$26="Moderado"),CONCATENATE("R3C",'Mapa final'!$Q$26),"")</f>
        <v/>
      </c>
      <c r="AB28" s="38" t="str">
        <f>IF(AND('Mapa final'!$AA$21="Media",'Mapa final'!$AC$21="Mayor"),CONCATENATE("R3C",'Mapa final'!$Q$21),"")</f>
        <v/>
      </c>
      <c r="AC28" s="39" t="str">
        <f>IF(AND('Mapa final'!$AA$22="Media",'Mapa final'!$AC$22="Mayor"),CONCATENATE("R3C",'Mapa final'!$Q$22),"")</f>
        <v/>
      </c>
      <c r="AD28" s="39" t="str">
        <f>IF(AND('Mapa final'!$AA$23="Media",'Mapa final'!$AC$23="Mayor"),CONCATENATE("R3C",'Mapa final'!$Q$23),"")</f>
        <v/>
      </c>
      <c r="AE28" s="39" t="str">
        <f>IF(AND('Mapa final'!$AA$24="Media",'Mapa final'!$AC$24="Mayor"),CONCATENATE("R3C",'Mapa final'!$Q$24),"")</f>
        <v/>
      </c>
      <c r="AF28" s="39" t="str">
        <f>IF(AND('Mapa final'!$AA$25="Media",'Mapa final'!$AC$25="Mayor"),CONCATENATE("R3C",'Mapa final'!$Q$25),"")</f>
        <v/>
      </c>
      <c r="AG28" s="40" t="str">
        <f>IF(AND('Mapa final'!$AA$26="Media",'Mapa final'!$AC$26="Mayor"),CONCATENATE("R3C",'Mapa final'!$Q$26),"")</f>
        <v/>
      </c>
      <c r="AH28" s="41" t="str">
        <f>IF(AND('Mapa final'!$AA$21="Media",'Mapa final'!$AC$21="Catastrófico"),CONCATENATE("R3C",'Mapa final'!$Q$21),"")</f>
        <v/>
      </c>
      <c r="AI28" s="42" t="str">
        <f>IF(AND('Mapa final'!$AA$22="Media",'Mapa final'!$AC$22="Catastrófico"),CONCATENATE("R3C",'Mapa final'!$Q$22),"")</f>
        <v/>
      </c>
      <c r="AJ28" s="42" t="str">
        <f>IF(AND('Mapa final'!$AA$23="Media",'Mapa final'!$AC$23="Catastrófico"),CONCATENATE("R3C",'Mapa final'!$Q$23),"")</f>
        <v/>
      </c>
      <c r="AK28" s="42" t="str">
        <f>IF(AND('Mapa final'!$AA$24="Media",'Mapa final'!$AC$24="Catastrófico"),CONCATENATE("R3C",'Mapa final'!$Q$24),"")</f>
        <v/>
      </c>
      <c r="AL28" s="42" t="str">
        <f>IF(AND('Mapa final'!$AA$25="Media",'Mapa final'!$AC$25="Catastrófico"),CONCATENATE("R3C",'Mapa final'!$Q$25),"")</f>
        <v/>
      </c>
      <c r="AM28" s="43" t="str">
        <f>IF(AND('Mapa final'!$AA$26="Media",'Mapa final'!$AC$26="Catastrófico"),CONCATENATE("R3C",'Mapa final'!$Q$26),"")</f>
        <v/>
      </c>
      <c r="AN28" s="70"/>
      <c r="AO28" s="370"/>
      <c r="AP28" s="371"/>
      <c r="AQ28" s="371"/>
      <c r="AR28" s="371"/>
      <c r="AS28" s="371"/>
      <c r="AT28" s="372"/>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39"/>
      <c r="C29" s="239"/>
      <c r="D29" s="240"/>
      <c r="E29" s="340"/>
      <c r="F29" s="341"/>
      <c r="G29" s="341"/>
      <c r="H29" s="341"/>
      <c r="I29" s="356"/>
      <c r="J29" s="54" t="str">
        <f>IF(AND('Mapa final'!$AA$27="Media",'Mapa final'!$AC$27="Leve"),CONCATENATE("R4C",'Mapa final'!$Q$27),"")</f>
        <v/>
      </c>
      <c r="K29" s="55" t="str">
        <f>IF(AND('Mapa final'!$AA$28="Media",'Mapa final'!$AC$28="Leve"),CONCATENATE("R4C",'Mapa final'!$Q$28),"")</f>
        <v/>
      </c>
      <c r="L29" s="55" t="str">
        <f>IF(AND('Mapa final'!$AA$29="Media",'Mapa final'!$AC$29="Leve"),CONCATENATE("R4C",'Mapa final'!$Q$29),"")</f>
        <v/>
      </c>
      <c r="M29" s="55" t="str">
        <f>IF(AND('Mapa final'!$AA$30="Media",'Mapa final'!$AC$30="Leve"),CONCATENATE("R4C",'Mapa final'!$Q$30),"")</f>
        <v/>
      </c>
      <c r="N29" s="55" t="str">
        <f>IF(AND('Mapa final'!$AA$31="Media",'Mapa final'!$AC$31="Leve"),CONCATENATE("R4C",'Mapa final'!$Q$31),"")</f>
        <v/>
      </c>
      <c r="O29" s="56" t="str">
        <f>IF(AND('Mapa final'!$AA$32="Media",'Mapa final'!$AC$32="Leve"),CONCATENATE("R4C",'Mapa final'!$Q$32),"")</f>
        <v/>
      </c>
      <c r="P29" s="54" t="str">
        <f>IF(AND('Mapa final'!$AA$27="Media",'Mapa final'!$AC$27="Menor"),CONCATENATE("R4C",'Mapa final'!$Q$27),"")</f>
        <v/>
      </c>
      <c r="Q29" s="55" t="str">
        <f>IF(AND('Mapa final'!$AA$28="Media",'Mapa final'!$AC$28="Menor"),CONCATENATE("R4C",'Mapa final'!$Q$28),"")</f>
        <v/>
      </c>
      <c r="R29" s="55" t="str">
        <f>IF(AND('Mapa final'!$AA$29="Media",'Mapa final'!$AC$29="Menor"),CONCATENATE("R4C",'Mapa final'!$Q$29),"")</f>
        <v/>
      </c>
      <c r="S29" s="55" t="str">
        <f>IF(AND('Mapa final'!$AA$30="Media",'Mapa final'!$AC$30="Menor"),CONCATENATE("R4C",'Mapa final'!$Q$30),"")</f>
        <v/>
      </c>
      <c r="T29" s="55" t="str">
        <f>IF(AND('Mapa final'!$AA$31="Media",'Mapa final'!$AC$31="Menor"),CONCATENATE("R4C",'Mapa final'!$Q$31),"")</f>
        <v/>
      </c>
      <c r="U29" s="56" t="str">
        <f>IF(AND('Mapa final'!$AA$32="Media",'Mapa final'!$AC$32="Menor"),CONCATENATE("R4C",'Mapa final'!$Q$32),"")</f>
        <v/>
      </c>
      <c r="V29" s="54" t="str">
        <f>IF(AND('Mapa final'!$AA$27="Media",'Mapa final'!$AC$27="Moderado"),CONCATENATE("R4C",'Mapa final'!$Q$27),"")</f>
        <v/>
      </c>
      <c r="W29" s="55" t="str">
        <f>IF(AND('Mapa final'!$AA$28="Media",'Mapa final'!$AC$28="Moderado"),CONCATENATE("R4C",'Mapa final'!$Q$28),"")</f>
        <v/>
      </c>
      <c r="X29" s="55" t="str">
        <f>IF(AND('Mapa final'!$AA$29="Media",'Mapa final'!$AC$29="Moderado"),CONCATENATE("R4C",'Mapa final'!$Q$29),"")</f>
        <v/>
      </c>
      <c r="Y29" s="55" t="str">
        <f>IF(AND('Mapa final'!$AA$30="Media",'Mapa final'!$AC$30="Moderado"),CONCATENATE("R4C",'Mapa final'!$Q$30),"")</f>
        <v/>
      </c>
      <c r="Z29" s="55" t="str">
        <f>IF(AND('Mapa final'!$AA$31="Media",'Mapa final'!$AC$31="Moderado"),CONCATENATE("R4C",'Mapa final'!$Q$31),"")</f>
        <v/>
      </c>
      <c r="AA29" s="56" t="str">
        <f>IF(AND('Mapa final'!$AA$32="Media",'Mapa final'!$AC$32="Moderado"),CONCATENATE("R4C",'Mapa final'!$Q$32),"")</f>
        <v/>
      </c>
      <c r="AB29" s="38" t="str">
        <f>IF(AND('Mapa final'!$AA$27="Media",'Mapa final'!$AC$27="Mayor"),CONCATENATE("R4C",'Mapa final'!$Q$27),"")</f>
        <v/>
      </c>
      <c r="AC29" s="39" t="str">
        <f>IF(AND('Mapa final'!$AA$28="Media",'Mapa final'!$AC$28="Mayor"),CONCATENATE("R4C",'Mapa final'!$Q$28),"")</f>
        <v/>
      </c>
      <c r="AD29" s="44" t="str">
        <f>IF(AND('Mapa final'!$AA$29="Media",'Mapa final'!$AC$29="Mayor"),CONCATENATE("R4C",'Mapa final'!$Q$29),"")</f>
        <v/>
      </c>
      <c r="AE29" s="44" t="str">
        <f>IF(AND('Mapa final'!$AA$30="Media",'Mapa final'!$AC$30="Mayor"),CONCATENATE("R4C",'Mapa final'!$Q$30),"")</f>
        <v/>
      </c>
      <c r="AF29" s="44" t="str">
        <f>IF(AND('Mapa final'!$AA$31="Media",'Mapa final'!$AC$31="Mayor"),CONCATENATE("R4C",'Mapa final'!$Q$31),"")</f>
        <v/>
      </c>
      <c r="AG29" s="40" t="str">
        <f>IF(AND('Mapa final'!$AA$32="Media",'Mapa final'!$AC$32="Mayor"),CONCATENATE("R4C",'Mapa final'!$Q$32),"")</f>
        <v/>
      </c>
      <c r="AH29" s="41" t="str">
        <f>IF(AND('Mapa final'!$AA$27="Media",'Mapa final'!$AC$27="Catastrófico"),CONCATENATE("R4C",'Mapa final'!$Q$27),"")</f>
        <v/>
      </c>
      <c r="AI29" s="42" t="str">
        <f>IF(AND('Mapa final'!$AA$28="Media",'Mapa final'!$AC$28="Catastrófico"),CONCATENATE("R4C",'Mapa final'!$Q$28),"")</f>
        <v/>
      </c>
      <c r="AJ29" s="42" t="str">
        <f>IF(AND('Mapa final'!$AA$29="Media",'Mapa final'!$AC$29="Catastrófico"),CONCATENATE("R4C",'Mapa final'!$Q$29),"")</f>
        <v/>
      </c>
      <c r="AK29" s="42" t="str">
        <f>IF(AND('Mapa final'!$AA$30="Media",'Mapa final'!$AC$30="Catastrófico"),CONCATENATE("R4C",'Mapa final'!$Q$30),"")</f>
        <v/>
      </c>
      <c r="AL29" s="42" t="str">
        <f>IF(AND('Mapa final'!$AA$31="Media",'Mapa final'!$AC$31="Catastrófico"),CONCATENATE("R4C",'Mapa final'!$Q$31),"")</f>
        <v/>
      </c>
      <c r="AM29" s="43" t="str">
        <f>IF(AND('Mapa final'!$AA$32="Media",'Mapa final'!$AC$32="Catastrófico"),CONCATENATE("R4C",'Mapa final'!$Q$32),"")</f>
        <v/>
      </c>
      <c r="AN29" s="70"/>
      <c r="AO29" s="370"/>
      <c r="AP29" s="371"/>
      <c r="AQ29" s="371"/>
      <c r="AR29" s="371"/>
      <c r="AS29" s="371"/>
      <c r="AT29" s="372"/>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39"/>
      <c r="C30" s="239"/>
      <c r="D30" s="240"/>
      <c r="E30" s="340"/>
      <c r="F30" s="341"/>
      <c r="G30" s="341"/>
      <c r="H30" s="341"/>
      <c r="I30" s="356"/>
      <c r="J30" s="54" t="str">
        <f>IF(AND('Mapa final'!$AA$33="Media",'Mapa final'!$AC$33="Leve"),CONCATENATE("R5C",'Mapa final'!$Q$33),"")</f>
        <v/>
      </c>
      <c r="K30" s="55" t="str">
        <f>IF(AND('Mapa final'!$AA$34="Media",'Mapa final'!$AC$34="Leve"),CONCATENATE("R5C",'Mapa final'!$Q$34),"")</f>
        <v/>
      </c>
      <c r="L30" s="55" t="str">
        <f>IF(AND('Mapa final'!$AA$35="Media",'Mapa final'!$AC$35="Leve"),CONCATENATE("R5C",'Mapa final'!$Q$35),"")</f>
        <v/>
      </c>
      <c r="M30" s="55" t="str">
        <f>IF(AND('Mapa final'!$AA$36="Media",'Mapa final'!$AC$36="Leve"),CONCATENATE("R5C",'Mapa final'!$Q$36),"")</f>
        <v/>
      </c>
      <c r="N30" s="55" t="str">
        <f>IF(AND('Mapa final'!$AA$37="Media",'Mapa final'!$AC$37="Leve"),CONCATENATE("R5C",'Mapa final'!$Q$37),"")</f>
        <v/>
      </c>
      <c r="O30" s="56" t="str">
        <f>IF(AND('Mapa final'!$AA$38="Media",'Mapa final'!$AC$38="Leve"),CONCATENATE("R5C",'Mapa final'!$Q$38),"")</f>
        <v/>
      </c>
      <c r="P30" s="54" t="str">
        <f>IF(AND('Mapa final'!$AA$33="Media",'Mapa final'!$AC$33="Menor"),CONCATENATE("R5C",'Mapa final'!$Q$33),"")</f>
        <v/>
      </c>
      <c r="Q30" s="55" t="str">
        <f>IF(AND('Mapa final'!$AA$34="Media",'Mapa final'!$AC$34="Menor"),CONCATENATE("R5C",'Mapa final'!$Q$34),"")</f>
        <v/>
      </c>
      <c r="R30" s="55" t="str">
        <f>IF(AND('Mapa final'!$AA$35="Media",'Mapa final'!$AC$35="Menor"),CONCATENATE("R5C",'Mapa final'!$Q$35),"")</f>
        <v/>
      </c>
      <c r="S30" s="55" t="str">
        <f>IF(AND('Mapa final'!$AA$36="Media",'Mapa final'!$AC$36="Menor"),CONCATENATE("R5C",'Mapa final'!$Q$36),"")</f>
        <v/>
      </c>
      <c r="T30" s="55" t="str">
        <f>IF(AND('Mapa final'!$AA$37="Media",'Mapa final'!$AC$37="Menor"),CONCATENATE("R5C",'Mapa final'!$Q$37),"")</f>
        <v/>
      </c>
      <c r="U30" s="56" t="str">
        <f>IF(AND('Mapa final'!$AA$38="Media",'Mapa final'!$AC$38="Menor"),CONCATENATE("R5C",'Mapa final'!$Q$38),"")</f>
        <v/>
      </c>
      <c r="V30" s="54" t="str">
        <f>IF(AND('Mapa final'!$AA$33="Media",'Mapa final'!$AC$33="Moderado"),CONCATENATE("R5C",'Mapa final'!$Q$33),"")</f>
        <v/>
      </c>
      <c r="W30" s="55" t="str">
        <f>IF(AND('Mapa final'!$AA$34="Media",'Mapa final'!$AC$34="Moderado"),CONCATENATE("R5C",'Mapa final'!$Q$34),"")</f>
        <v/>
      </c>
      <c r="X30" s="55" t="str">
        <f>IF(AND('Mapa final'!$AA$35="Media",'Mapa final'!$AC$35="Moderado"),CONCATENATE("R5C",'Mapa final'!$Q$35),"")</f>
        <v/>
      </c>
      <c r="Y30" s="55" t="str">
        <f>IF(AND('Mapa final'!$AA$36="Media",'Mapa final'!$AC$36="Moderado"),CONCATENATE("R5C",'Mapa final'!$Q$36),"")</f>
        <v/>
      </c>
      <c r="Z30" s="55" t="str">
        <f>IF(AND('Mapa final'!$AA$37="Media",'Mapa final'!$AC$37="Moderado"),CONCATENATE("R5C",'Mapa final'!$Q$37),"")</f>
        <v/>
      </c>
      <c r="AA30" s="56" t="str">
        <f>IF(AND('Mapa final'!$AA$38="Media",'Mapa final'!$AC$38="Moderado"),CONCATENATE("R5C",'Mapa final'!$Q$38),"")</f>
        <v/>
      </c>
      <c r="AB30" s="38" t="str">
        <f>IF(AND('Mapa final'!$AA$33="Media",'Mapa final'!$AC$33="Mayor"),CONCATENATE("R5C",'Mapa final'!$Q$33),"")</f>
        <v/>
      </c>
      <c r="AC30" s="39" t="str">
        <f>IF(AND('Mapa final'!$AA$34="Media",'Mapa final'!$AC$34="Mayor"),CONCATENATE("R5C",'Mapa final'!$Q$34),"")</f>
        <v/>
      </c>
      <c r="AD30" s="44" t="str">
        <f>IF(AND('Mapa final'!$AA$35="Media",'Mapa final'!$AC$35="Mayor"),CONCATENATE("R5C",'Mapa final'!$Q$35),"")</f>
        <v/>
      </c>
      <c r="AE30" s="44" t="str">
        <f>IF(AND('Mapa final'!$AA$36="Media",'Mapa final'!$AC$36="Mayor"),CONCATENATE("R5C",'Mapa final'!$Q$36),"")</f>
        <v/>
      </c>
      <c r="AF30" s="44" t="str">
        <f>IF(AND('Mapa final'!$AA$37="Media",'Mapa final'!$AC$37="Mayor"),CONCATENATE("R5C",'Mapa final'!$Q$37),"")</f>
        <v/>
      </c>
      <c r="AG30" s="40" t="str">
        <f>IF(AND('Mapa final'!$AA$38="Media",'Mapa final'!$AC$38="Mayor"),CONCATENATE("R5C",'Mapa final'!$Q$38),"")</f>
        <v/>
      </c>
      <c r="AH30" s="41" t="str">
        <f>IF(AND('Mapa final'!$AA$33="Media",'Mapa final'!$AC$33="Catastrófico"),CONCATENATE("R5C",'Mapa final'!$Q$33),"")</f>
        <v/>
      </c>
      <c r="AI30" s="42" t="str">
        <f>IF(AND('Mapa final'!$AA$34="Media",'Mapa final'!$AC$34="Catastrófico"),CONCATENATE("R5C",'Mapa final'!$Q$34),"")</f>
        <v/>
      </c>
      <c r="AJ30" s="42" t="str">
        <f>IF(AND('Mapa final'!$AA$35="Media",'Mapa final'!$AC$35="Catastrófico"),CONCATENATE("R5C",'Mapa final'!$Q$35),"")</f>
        <v/>
      </c>
      <c r="AK30" s="42" t="str">
        <f>IF(AND('Mapa final'!$AA$36="Media",'Mapa final'!$AC$36="Catastrófico"),CONCATENATE("R5C",'Mapa final'!$Q$36),"")</f>
        <v/>
      </c>
      <c r="AL30" s="42" t="str">
        <f>IF(AND('Mapa final'!$AA$37="Media",'Mapa final'!$AC$37="Catastrófico"),CONCATENATE("R5C",'Mapa final'!$Q$37),"")</f>
        <v/>
      </c>
      <c r="AM30" s="43" t="str">
        <f>IF(AND('Mapa final'!$AA$38="Media",'Mapa final'!$AC$38="Catastrófico"),CONCATENATE("R5C",'Mapa final'!$Q$38),"")</f>
        <v/>
      </c>
      <c r="AN30" s="70"/>
      <c r="AO30" s="370"/>
      <c r="AP30" s="371"/>
      <c r="AQ30" s="371"/>
      <c r="AR30" s="371"/>
      <c r="AS30" s="371"/>
      <c r="AT30" s="372"/>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39"/>
      <c r="C31" s="239"/>
      <c r="D31" s="240"/>
      <c r="E31" s="340"/>
      <c r="F31" s="341"/>
      <c r="G31" s="341"/>
      <c r="H31" s="341"/>
      <c r="I31" s="356"/>
      <c r="J31" s="54" t="str">
        <f>IF(AND('Mapa final'!$AA$39="Media",'Mapa final'!$AC$39="Leve"),CONCATENATE("R6C",'Mapa final'!$Q$39),"")</f>
        <v/>
      </c>
      <c r="K31" s="55" t="str">
        <f>IF(AND('Mapa final'!$AA$40="Media",'Mapa final'!$AC$40="Leve"),CONCATENATE("R6C",'Mapa final'!$Q$40),"")</f>
        <v/>
      </c>
      <c r="L31" s="55" t="str">
        <f>IF(AND('Mapa final'!$AA$41="Media",'Mapa final'!$AC$41="Leve"),CONCATENATE("R6C",'Mapa final'!$Q$41),"")</f>
        <v/>
      </c>
      <c r="M31" s="55" t="str">
        <f>IF(AND('Mapa final'!$AA$42="Media",'Mapa final'!$AC$42="Leve"),CONCATENATE("R6C",'Mapa final'!$Q$42),"")</f>
        <v/>
      </c>
      <c r="N31" s="55" t="str">
        <f>IF(AND('Mapa final'!$AA$43="Media",'Mapa final'!$AC$43="Leve"),CONCATENATE("R6C",'Mapa final'!$Q$43),"")</f>
        <v/>
      </c>
      <c r="O31" s="56" t="str">
        <f>IF(AND('Mapa final'!$AA$44="Media",'Mapa final'!$AC$44="Leve"),CONCATENATE("R6C",'Mapa final'!$Q$44),"")</f>
        <v/>
      </c>
      <c r="P31" s="54" t="str">
        <f>IF(AND('Mapa final'!$AA$39="Media",'Mapa final'!$AC$39="Menor"),CONCATENATE("R6C",'Mapa final'!$Q$39),"")</f>
        <v/>
      </c>
      <c r="Q31" s="55" t="str">
        <f>IF(AND('Mapa final'!$AA$40="Media",'Mapa final'!$AC$40="Menor"),CONCATENATE("R6C",'Mapa final'!$Q$40),"")</f>
        <v/>
      </c>
      <c r="R31" s="55" t="str">
        <f>IF(AND('Mapa final'!$AA$41="Media",'Mapa final'!$AC$41="Menor"),CONCATENATE("R6C",'Mapa final'!$Q$41),"")</f>
        <v/>
      </c>
      <c r="S31" s="55" t="str">
        <f>IF(AND('Mapa final'!$AA$42="Media",'Mapa final'!$AC$42="Menor"),CONCATENATE("R6C",'Mapa final'!$Q$42),"")</f>
        <v/>
      </c>
      <c r="T31" s="55" t="str">
        <f>IF(AND('Mapa final'!$AA$43="Media",'Mapa final'!$AC$43="Menor"),CONCATENATE("R6C",'Mapa final'!$Q$43),"")</f>
        <v/>
      </c>
      <c r="U31" s="56" t="str">
        <f>IF(AND('Mapa final'!$AA$44="Media",'Mapa final'!$AC$44="Menor"),CONCATENATE("R6C",'Mapa final'!$Q$44),"")</f>
        <v/>
      </c>
      <c r="V31" s="54" t="str">
        <f>IF(AND('Mapa final'!$AA$39="Media",'Mapa final'!$AC$39="Moderado"),CONCATENATE("R6C",'Mapa final'!$Q$39),"")</f>
        <v/>
      </c>
      <c r="W31" s="55" t="str">
        <f>IF(AND('Mapa final'!$AA$40="Media",'Mapa final'!$AC$40="Moderado"),CONCATENATE("R6C",'Mapa final'!$Q$40),"")</f>
        <v/>
      </c>
      <c r="X31" s="55" t="str">
        <f>IF(AND('Mapa final'!$AA$41="Media",'Mapa final'!$AC$41="Moderado"),CONCATENATE("R6C",'Mapa final'!$Q$41),"")</f>
        <v/>
      </c>
      <c r="Y31" s="55" t="str">
        <f>IF(AND('Mapa final'!$AA$42="Media",'Mapa final'!$AC$42="Moderado"),CONCATENATE("R6C",'Mapa final'!$Q$42),"")</f>
        <v/>
      </c>
      <c r="Z31" s="55" t="str">
        <f>IF(AND('Mapa final'!$AA$43="Media",'Mapa final'!$AC$43="Moderado"),CONCATENATE("R6C",'Mapa final'!$Q$43),"")</f>
        <v/>
      </c>
      <c r="AA31" s="56" t="str">
        <f>IF(AND('Mapa final'!$AA$44="Media",'Mapa final'!$AC$44="Moderado"),CONCATENATE("R6C",'Mapa final'!$Q$44),"")</f>
        <v/>
      </c>
      <c r="AB31" s="38" t="str">
        <f>IF(AND('Mapa final'!$AA$39="Media",'Mapa final'!$AC$39="Mayor"),CONCATENATE("R6C",'Mapa final'!$Q$39),"")</f>
        <v/>
      </c>
      <c r="AC31" s="39" t="str">
        <f>IF(AND('Mapa final'!$AA$40="Media",'Mapa final'!$AC$40="Mayor"),CONCATENATE("R6C",'Mapa final'!$Q$40),"")</f>
        <v/>
      </c>
      <c r="AD31" s="44" t="str">
        <f>IF(AND('Mapa final'!$AA$41="Media",'Mapa final'!$AC$41="Mayor"),CONCATENATE("R6C",'Mapa final'!$Q$41),"")</f>
        <v/>
      </c>
      <c r="AE31" s="44" t="str">
        <f>IF(AND('Mapa final'!$AA$42="Media",'Mapa final'!$AC$42="Mayor"),CONCATENATE("R6C",'Mapa final'!$Q$42),"")</f>
        <v/>
      </c>
      <c r="AF31" s="44" t="str">
        <f>IF(AND('Mapa final'!$AA$43="Media",'Mapa final'!$AC$43="Mayor"),CONCATENATE("R6C",'Mapa final'!$Q$43),"")</f>
        <v/>
      </c>
      <c r="AG31" s="40" t="str">
        <f>IF(AND('Mapa final'!$AA$44="Media",'Mapa final'!$AC$44="Mayor"),CONCATENATE("R6C",'Mapa final'!$Q$44),"")</f>
        <v/>
      </c>
      <c r="AH31" s="41" t="str">
        <f>IF(AND('Mapa final'!$AA$39="Media",'Mapa final'!$AC$39="Catastrófico"),CONCATENATE("R6C",'Mapa final'!$Q$39),"")</f>
        <v/>
      </c>
      <c r="AI31" s="42" t="str">
        <f>IF(AND('Mapa final'!$AA$40="Media",'Mapa final'!$AC$40="Catastrófico"),CONCATENATE("R6C",'Mapa final'!$Q$40),"")</f>
        <v/>
      </c>
      <c r="AJ31" s="42" t="str">
        <f>IF(AND('Mapa final'!$AA$41="Media",'Mapa final'!$AC$41="Catastrófico"),CONCATENATE("R6C",'Mapa final'!$Q$41),"")</f>
        <v/>
      </c>
      <c r="AK31" s="42" t="str">
        <f>IF(AND('Mapa final'!$AA$42="Media",'Mapa final'!$AC$42="Catastrófico"),CONCATENATE("R6C",'Mapa final'!$Q$42),"")</f>
        <v/>
      </c>
      <c r="AL31" s="42" t="str">
        <f>IF(AND('Mapa final'!$AA$43="Media",'Mapa final'!$AC$43="Catastrófico"),CONCATENATE("R6C",'Mapa final'!$Q$43),"")</f>
        <v/>
      </c>
      <c r="AM31" s="43" t="str">
        <f>IF(AND('Mapa final'!$AA$44="Media",'Mapa final'!$AC$44="Catastrófico"),CONCATENATE("R6C",'Mapa final'!$Q$44),"")</f>
        <v/>
      </c>
      <c r="AN31" s="70"/>
      <c r="AO31" s="370"/>
      <c r="AP31" s="371"/>
      <c r="AQ31" s="371"/>
      <c r="AR31" s="371"/>
      <c r="AS31" s="371"/>
      <c r="AT31" s="372"/>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39"/>
      <c r="C32" s="239"/>
      <c r="D32" s="240"/>
      <c r="E32" s="340"/>
      <c r="F32" s="341"/>
      <c r="G32" s="341"/>
      <c r="H32" s="341"/>
      <c r="I32" s="356"/>
      <c r="J32" s="54" t="str">
        <f>IF(AND('Mapa final'!$AA$45="Media",'Mapa final'!$AC$45="Leve"),CONCATENATE("R7C",'Mapa final'!$Q$45),"")</f>
        <v/>
      </c>
      <c r="K32" s="55" t="str">
        <f>IF(AND('Mapa final'!$AA$46="Media",'Mapa final'!$AC$46="Leve"),CONCATENATE("R7C",'Mapa final'!$Q$46),"")</f>
        <v/>
      </c>
      <c r="L32" s="55" t="str">
        <f>IF(AND('Mapa final'!$AA$47="Media",'Mapa final'!$AC$47="Leve"),CONCATENATE("R7C",'Mapa final'!$Q$47),"")</f>
        <v/>
      </c>
      <c r="M32" s="55" t="str">
        <f>IF(AND('Mapa final'!$AA$48="Media",'Mapa final'!$AC$48="Leve"),CONCATENATE("R7C",'Mapa final'!$Q$48),"")</f>
        <v/>
      </c>
      <c r="N32" s="55" t="str">
        <f>IF(AND('Mapa final'!$AA$49="Media",'Mapa final'!$AC$49="Leve"),CONCATENATE("R7C",'Mapa final'!$Q$49),"")</f>
        <v/>
      </c>
      <c r="O32" s="56" t="str">
        <f>IF(AND('Mapa final'!$AA$50="Media",'Mapa final'!$AC$50="Leve"),CONCATENATE("R7C",'Mapa final'!$Q$50),"")</f>
        <v/>
      </c>
      <c r="P32" s="54" t="str">
        <f>IF(AND('Mapa final'!$AA$45="Media",'Mapa final'!$AC$45="Menor"),CONCATENATE("R7C",'Mapa final'!$Q$45),"")</f>
        <v/>
      </c>
      <c r="Q32" s="55" t="str">
        <f>IF(AND('Mapa final'!$AA$46="Media",'Mapa final'!$AC$46="Menor"),CONCATENATE("R7C",'Mapa final'!$Q$46),"")</f>
        <v/>
      </c>
      <c r="R32" s="55" t="str">
        <f>IF(AND('Mapa final'!$AA$47="Media",'Mapa final'!$AC$47="Menor"),CONCATENATE("R7C",'Mapa final'!$Q$47),"")</f>
        <v/>
      </c>
      <c r="S32" s="55" t="str">
        <f>IF(AND('Mapa final'!$AA$48="Media",'Mapa final'!$AC$48="Menor"),CONCATENATE("R7C",'Mapa final'!$Q$48),"")</f>
        <v/>
      </c>
      <c r="T32" s="55" t="str">
        <f>IF(AND('Mapa final'!$AA$49="Media",'Mapa final'!$AC$49="Menor"),CONCATENATE("R7C",'Mapa final'!$Q$49),"")</f>
        <v/>
      </c>
      <c r="U32" s="56" t="str">
        <f>IF(AND('Mapa final'!$AA$50="Media",'Mapa final'!$AC$50="Menor"),CONCATENATE("R7C",'Mapa final'!$Q$50),"")</f>
        <v/>
      </c>
      <c r="V32" s="54" t="str">
        <f>IF(AND('Mapa final'!$AA$45="Media",'Mapa final'!$AC$45="Moderado"),CONCATENATE("R7C",'Mapa final'!$Q$45),"")</f>
        <v/>
      </c>
      <c r="W32" s="55" t="str">
        <f>IF(AND('Mapa final'!$AA$46="Media",'Mapa final'!$AC$46="Moderado"),CONCATENATE("R7C",'Mapa final'!$Q$46),"")</f>
        <v/>
      </c>
      <c r="X32" s="55" t="str">
        <f>IF(AND('Mapa final'!$AA$47="Media",'Mapa final'!$AC$47="Moderado"),CONCATENATE("R7C",'Mapa final'!$Q$47),"")</f>
        <v/>
      </c>
      <c r="Y32" s="55" t="str">
        <f>IF(AND('Mapa final'!$AA$48="Media",'Mapa final'!$AC$48="Moderado"),CONCATENATE("R7C",'Mapa final'!$Q$48),"")</f>
        <v/>
      </c>
      <c r="Z32" s="55" t="str">
        <f>IF(AND('Mapa final'!$AA$49="Media",'Mapa final'!$AC$49="Moderado"),CONCATENATE("R7C",'Mapa final'!$Q$49),"")</f>
        <v/>
      </c>
      <c r="AA32" s="56" t="str">
        <f>IF(AND('Mapa final'!$AA$50="Media",'Mapa final'!$AC$50="Moderado"),CONCATENATE("R7C",'Mapa final'!$Q$50),"")</f>
        <v/>
      </c>
      <c r="AB32" s="38" t="str">
        <f>IF(AND('Mapa final'!$AA$45="Media",'Mapa final'!$AC$45="Mayor"),CONCATENATE("R7C",'Mapa final'!$Q$45),"")</f>
        <v/>
      </c>
      <c r="AC32" s="39" t="str">
        <f>IF(AND('Mapa final'!$AA$46="Media",'Mapa final'!$AC$46="Mayor"),CONCATENATE("R7C",'Mapa final'!$Q$46),"")</f>
        <v/>
      </c>
      <c r="AD32" s="44" t="str">
        <f>IF(AND('Mapa final'!$AA$47="Media",'Mapa final'!$AC$47="Mayor"),CONCATENATE("R7C",'Mapa final'!$Q$47),"")</f>
        <v/>
      </c>
      <c r="AE32" s="44" t="str">
        <f>IF(AND('Mapa final'!$AA$48="Media",'Mapa final'!$AC$48="Mayor"),CONCATENATE("R7C",'Mapa final'!$Q$48),"")</f>
        <v/>
      </c>
      <c r="AF32" s="44" t="str">
        <f>IF(AND('Mapa final'!$AA$49="Media",'Mapa final'!$AC$49="Mayor"),CONCATENATE("R7C",'Mapa final'!$Q$49),"")</f>
        <v/>
      </c>
      <c r="AG32" s="40" t="str">
        <f>IF(AND('Mapa final'!$AA$50="Media",'Mapa final'!$AC$50="Mayor"),CONCATENATE("R7C",'Mapa final'!$Q$50),"")</f>
        <v/>
      </c>
      <c r="AH32" s="41" t="str">
        <f>IF(AND('Mapa final'!$AA$45="Media",'Mapa final'!$AC$45="Catastrófico"),CONCATENATE("R7C",'Mapa final'!$Q$45),"")</f>
        <v/>
      </c>
      <c r="AI32" s="42" t="str">
        <f>IF(AND('Mapa final'!$AA$46="Media",'Mapa final'!$AC$46="Catastrófico"),CONCATENATE("R7C",'Mapa final'!$Q$46),"")</f>
        <v/>
      </c>
      <c r="AJ32" s="42" t="str">
        <f>IF(AND('Mapa final'!$AA$47="Media",'Mapa final'!$AC$47="Catastrófico"),CONCATENATE("R7C",'Mapa final'!$Q$47),"")</f>
        <v/>
      </c>
      <c r="AK32" s="42" t="str">
        <f>IF(AND('Mapa final'!$AA$48="Media",'Mapa final'!$AC$48="Catastrófico"),CONCATENATE("R7C",'Mapa final'!$Q$48),"")</f>
        <v/>
      </c>
      <c r="AL32" s="42" t="str">
        <f>IF(AND('Mapa final'!$AA$49="Media",'Mapa final'!$AC$49="Catastrófico"),CONCATENATE("R7C",'Mapa final'!$Q$49),"")</f>
        <v/>
      </c>
      <c r="AM32" s="43" t="str">
        <f>IF(AND('Mapa final'!$AA$50="Media",'Mapa final'!$AC$50="Catastrófico"),CONCATENATE("R7C",'Mapa final'!$Q$50),"")</f>
        <v/>
      </c>
      <c r="AN32" s="70"/>
      <c r="AO32" s="370"/>
      <c r="AP32" s="371"/>
      <c r="AQ32" s="371"/>
      <c r="AR32" s="371"/>
      <c r="AS32" s="371"/>
      <c r="AT32" s="372"/>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39"/>
      <c r="C33" s="239"/>
      <c r="D33" s="240"/>
      <c r="E33" s="340"/>
      <c r="F33" s="341"/>
      <c r="G33" s="341"/>
      <c r="H33" s="341"/>
      <c r="I33" s="356"/>
      <c r="J33" s="54" t="str">
        <f>IF(AND('Mapa final'!$AA$51="Media",'Mapa final'!$AC$51="Leve"),CONCATENATE("R8C",'Mapa final'!$Q$51),"")</f>
        <v/>
      </c>
      <c r="K33" s="55" t="str">
        <f>IF(AND('Mapa final'!$AA$52="Media",'Mapa final'!$AC$52="Leve"),CONCATENATE("R8C",'Mapa final'!$Q$52),"")</f>
        <v/>
      </c>
      <c r="L33" s="55" t="str">
        <f>IF(AND('Mapa final'!$AA$53="Media",'Mapa final'!$AC$53="Leve"),CONCATENATE("R8C",'Mapa final'!$Q$53),"")</f>
        <v/>
      </c>
      <c r="M33" s="55" t="str">
        <f>IF(AND('Mapa final'!$AA$54="Media",'Mapa final'!$AC$54="Leve"),CONCATENATE("R8C",'Mapa final'!$Q$54),"")</f>
        <v/>
      </c>
      <c r="N33" s="55" t="str">
        <f>IF(AND('Mapa final'!$AA$55="Media",'Mapa final'!$AC$55="Leve"),CONCATENATE("R8C",'Mapa final'!$Q$55),"")</f>
        <v/>
      </c>
      <c r="O33" s="56" t="str">
        <f>IF(AND('Mapa final'!$AA$56="Media",'Mapa final'!$AC$56="Leve"),CONCATENATE("R8C",'Mapa final'!$Q$56),"")</f>
        <v/>
      </c>
      <c r="P33" s="54" t="str">
        <f>IF(AND('Mapa final'!$AA$51="Media",'Mapa final'!$AC$51="Menor"),CONCATENATE("R8C",'Mapa final'!$Q$51),"")</f>
        <v/>
      </c>
      <c r="Q33" s="55" t="str">
        <f>IF(AND('Mapa final'!$AA$52="Media",'Mapa final'!$AC$52="Menor"),CONCATENATE("R8C",'Mapa final'!$Q$52),"")</f>
        <v/>
      </c>
      <c r="R33" s="55" t="str">
        <f>IF(AND('Mapa final'!$AA$53="Media",'Mapa final'!$AC$53="Menor"),CONCATENATE("R8C",'Mapa final'!$Q$53),"")</f>
        <v/>
      </c>
      <c r="S33" s="55" t="str">
        <f>IF(AND('Mapa final'!$AA$54="Media",'Mapa final'!$AC$54="Menor"),CONCATENATE("R8C",'Mapa final'!$Q$54),"")</f>
        <v/>
      </c>
      <c r="T33" s="55" t="str">
        <f>IF(AND('Mapa final'!$AA$55="Media",'Mapa final'!$AC$55="Menor"),CONCATENATE("R8C",'Mapa final'!$Q$55),"")</f>
        <v/>
      </c>
      <c r="U33" s="56" t="str">
        <f>IF(AND('Mapa final'!$AA$56="Media",'Mapa final'!$AC$56="Menor"),CONCATENATE("R8C",'Mapa final'!$Q$56),"")</f>
        <v/>
      </c>
      <c r="V33" s="54" t="str">
        <f>IF(AND('Mapa final'!$AA$51="Media",'Mapa final'!$AC$51="Moderado"),CONCATENATE("R8C",'Mapa final'!$Q$51),"")</f>
        <v/>
      </c>
      <c r="W33" s="55" t="str">
        <f>IF(AND('Mapa final'!$AA$52="Media",'Mapa final'!$AC$52="Moderado"),CONCATENATE("R8C",'Mapa final'!$Q$52),"")</f>
        <v/>
      </c>
      <c r="X33" s="55" t="str">
        <f>IF(AND('Mapa final'!$AA$53="Media",'Mapa final'!$AC$53="Moderado"),CONCATENATE("R8C",'Mapa final'!$Q$53),"")</f>
        <v/>
      </c>
      <c r="Y33" s="55" t="str">
        <f>IF(AND('Mapa final'!$AA$54="Media",'Mapa final'!$AC$54="Moderado"),CONCATENATE("R8C",'Mapa final'!$Q$54),"")</f>
        <v/>
      </c>
      <c r="Z33" s="55" t="str">
        <f>IF(AND('Mapa final'!$AA$55="Media",'Mapa final'!$AC$55="Moderado"),CONCATENATE("R8C",'Mapa final'!$Q$55),"")</f>
        <v/>
      </c>
      <c r="AA33" s="56" t="str">
        <f>IF(AND('Mapa final'!$AA$56="Media",'Mapa final'!$AC$56="Moderado"),CONCATENATE("R8C",'Mapa final'!$Q$56),"")</f>
        <v/>
      </c>
      <c r="AB33" s="38" t="str">
        <f>IF(AND('Mapa final'!$AA$51="Media",'Mapa final'!$AC$51="Mayor"),CONCATENATE("R8C",'Mapa final'!$Q$51),"")</f>
        <v/>
      </c>
      <c r="AC33" s="39" t="str">
        <f>IF(AND('Mapa final'!$AA$52="Media",'Mapa final'!$AC$52="Mayor"),CONCATENATE("R8C",'Mapa final'!$Q$52),"")</f>
        <v/>
      </c>
      <c r="AD33" s="44" t="str">
        <f>IF(AND('Mapa final'!$AA$53="Media",'Mapa final'!$AC$53="Mayor"),CONCATENATE("R8C",'Mapa final'!$Q$53),"")</f>
        <v/>
      </c>
      <c r="AE33" s="44" t="str">
        <f>IF(AND('Mapa final'!$AA$54="Media",'Mapa final'!$AC$54="Mayor"),CONCATENATE("R8C",'Mapa final'!$Q$54),"")</f>
        <v/>
      </c>
      <c r="AF33" s="44" t="str">
        <f>IF(AND('Mapa final'!$AA$55="Media",'Mapa final'!$AC$55="Mayor"),CONCATENATE("R8C",'Mapa final'!$Q$55),"")</f>
        <v/>
      </c>
      <c r="AG33" s="40" t="str">
        <f>IF(AND('Mapa final'!$AA$56="Media",'Mapa final'!$AC$56="Mayor"),CONCATENATE("R8C",'Mapa final'!$Q$56),"")</f>
        <v/>
      </c>
      <c r="AH33" s="41" t="str">
        <f>IF(AND('Mapa final'!$AA$51="Media",'Mapa final'!$AC$51="Catastrófico"),CONCATENATE("R8C",'Mapa final'!$Q$51),"")</f>
        <v/>
      </c>
      <c r="AI33" s="42" t="str">
        <f>IF(AND('Mapa final'!$AA$52="Media",'Mapa final'!$AC$52="Catastrófico"),CONCATENATE("R8C",'Mapa final'!$Q$52),"")</f>
        <v/>
      </c>
      <c r="AJ33" s="42" t="str">
        <f>IF(AND('Mapa final'!$AA$53="Media",'Mapa final'!$AC$53="Catastrófico"),CONCATENATE("R8C",'Mapa final'!$Q$53),"")</f>
        <v/>
      </c>
      <c r="AK33" s="42" t="str">
        <f>IF(AND('Mapa final'!$AA$54="Media",'Mapa final'!$AC$54="Catastrófico"),CONCATENATE("R8C",'Mapa final'!$Q$54),"")</f>
        <v/>
      </c>
      <c r="AL33" s="42" t="str">
        <f>IF(AND('Mapa final'!$AA$55="Media",'Mapa final'!$AC$55="Catastrófico"),CONCATENATE("R8C",'Mapa final'!$Q$55),"")</f>
        <v/>
      </c>
      <c r="AM33" s="43" t="str">
        <f>IF(AND('Mapa final'!$AA$56="Media",'Mapa final'!$AC$56="Catastrófico"),CONCATENATE("R8C",'Mapa final'!$Q$56),"")</f>
        <v/>
      </c>
      <c r="AN33" s="70"/>
      <c r="AO33" s="370"/>
      <c r="AP33" s="371"/>
      <c r="AQ33" s="371"/>
      <c r="AR33" s="371"/>
      <c r="AS33" s="371"/>
      <c r="AT33" s="372"/>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39"/>
      <c r="C34" s="239"/>
      <c r="D34" s="240"/>
      <c r="E34" s="340"/>
      <c r="F34" s="341"/>
      <c r="G34" s="341"/>
      <c r="H34" s="341"/>
      <c r="I34" s="356"/>
      <c r="J34" s="54" t="str">
        <f>IF(AND('Mapa final'!$AA$57="Media",'Mapa final'!$AC$57="Leve"),CONCATENATE("R9C",'Mapa final'!$Q$57),"")</f>
        <v/>
      </c>
      <c r="K34" s="55" t="str">
        <f>IF(AND('Mapa final'!$AA$58="Media",'Mapa final'!$AC$58="Leve"),CONCATENATE("R9C",'Mapa final'!$Q$58),"")</f>
        <v/>
      </c>
      <c r="L34" s="55" t="str">
        <f>IF(AND('Mapa final'!$AA$59="Media",'Mapa final'!$AC$59="Leve"),CONCATENATE("R9C",'Mapa final'!$Q$59),"")</f>
        <v/>
      </c>
      <c r="M34" s="55" t="str">
        <f>IF(AND('Mapa final'!$AA$60="Media",'Mapa final'!$AC$60="Leve"),CONCATENATE("R9C",'Mapa final'!$Q$60),"")</f>
        <v/>
      </c>
      <c r="N34" s="55" t="str">
        <f>IF(AND('Mapa final'!$AA$61="Media",'Mapa final'!$AC$61="Leve"),CONCATENATE("R9C",'Mapa final'!$Q$61),"")</f>
        <v/>
      </c>
      <c r="O34" s="56" t="str">
        <f>IF(AND('Mapa final'!$AA$62="Media",'Mapa final'!$AC$62="Leve"),CONCATENATE("R9C",'Mapa final'!$Q$62),"")</f>
        <v/>
      </c>
      <c r="P34" s="54" t="str">
        <f>IF(AND('Mapa final'!$AA$57="Media",'Mapa final'!$AC$57="Menor"),CONCATENATE("R9C",'Mapa final'!$Q$57),"")</f>
        <v/>
      </c>
      <c r="Q34" s="55" t="str">
        <f>IF(AND('Mapa final'!$AA$58="Media",'Mapa final'!$AC$58="Menor"),CONCATENATE("R9C",'Mapa final'!$Q$58),"")</f>
        <v/>
      </c>
      <c r="R34" s="55" t="str">
        <f>IF(AND('Mapa final'!$AA$59="Media",'Mapa final'!$AC$59="Menor"),CONCATENATE("R9C",'Mapa final'!$Q$59),"")</f>
        <v/>
      </c>
      <c r="S34" s="55" t="str">
        <f>IF(AND('Mapa final'!$AA$60="Media",'Mapa final'!$AC$60="Menor"),CONCATENATE("R9C",'Mapa final'!$Q$60),"")</f>
        <v/>
      </c>
      <c r="T34" s="55" t="str">
        <f>IF(AND('Mapa final'!$AA$61="Media",'Mapa final'!$AC$61="Menor"),CONCATENATE("R9C",'Mapa final'!$Q$61),"")</f>
        <v/>
      </c>
      <c r="U34" s="56" t="str">
        <f>IF(AND('Mapa final'!$AA$62="Media",'Mapa final'!$AC$62="Menor"),CONCATENATE("R9C",'Mapa final'!$Q$62),"")</f>
        <v/>
      </c>
      <c r="V34" s="54" t="str">
        <f>IF(AND('Mapa final'!$AA$57="Media",'Mapa final'!$AC$57="Moderado"),CONCATENATE("R9C",'Mapa final'!$Q$57),"")</f>
        <v/>
      </c>
      <c r="W34" s="55" t="str">
        <f>IF(AND('Mapa final'!$AA$58="Media",'Mapa final'!$AC$58="Moderado"),CONCATENATE("R9C",'Mapa final'!$Q$58),"")</f>
        <v/>
      </c>
      <c r="X34" s="55" t="str">
        <f>IF(AND('Mapa final'!$AA$59="Media",'Mapa final'!$AC$59="Moderado"),CONCATENATE("R9C",'Mapa final'!$Q$59),"")</f>
        <v/>
      </c>
      <c r="Y34" s="55" t="str">
        <f>IF(AND('Mapa final'!$AA$60="Media",'Mapa final'!$AC$60="Moderado"),CONCATENATE("R9C",'Mapa final'!$Q$60),"")</f>
        <v/>
      </c>
      <c r="Z34" s="55" t="str">
        <f>IF(AND('Mapa final'!$AA$61="Media",'Mapa final'!$AC$61="Moderado"),CONCATENATE("R9C",'Mapa final'!$Q$61),"")</f>
        <v/>
      </c>
      <c r="AA34" s="56" t="str">
        <f>IF(AND('Mapa final'!$AA$62="Media",'Mapa final'!$AC$62="Moderado"),CONCATENATE("R9C",'Mapa final'!$Q$62),"")</f>
        <v/>
      </c>
      <c r="AB34" s="38" t="str">
        <f>IF(AND('Mapa final'!$AA$57="Media",'Mapa final'!$AC$57="Mayor"),CONCATENATE("R9C",'Mapa final'!$Q$57),"")</f>
        <v/>
      </c>
      <c r="AC34" s="39" t="str">
        <f>IF(AND('Mapa final'!$AA$58="Media",'Mapa final'!$AC$58="Mayor"),CONCATENATE("R9C",'Mapa final'!$Q$58),"")</f>
        <v/>
      </c>
      <c r="AD34" s="44" t="str">
        <f>IF(AND('Mapa final'!$AA$59="Media",'Mapa final'!$AC$59="Mayor"),CONCATENATE("R9C",'Mapa final'!$Q$59),"")</f>
        <v/>
      </c>
      <c r="AE34" s="44" t="str">
        <f>IF(AND('Mapa final'!$AA$60="Media",'Mapa final'!$AC$60="Mayor"),CONCATENATE("R9C",'Mapa final'!$Q$60),"")</f>
        <v/>
      </c>
      <c r="AF34" s="44" t="str">
        <f>IF(AND('Mapa final'!$AA$61="Media",'Mapa final'!$AC$61="Mayor"),CONCATENATE("R9C",'Mapa final'!$Q$61),"")</f>
        <v/>
      </c>
      <c r="AG34" s="40" t="str">
        <f>IF(AND('Mapa final'!$AA$62="Media",'Mapa final'!$AC$62="Mayor"),CONCATENATE("R9C",'Mapa final'!$Q$62),"")</f>
        <v/>
      </c>
      <c r="AH34" s="41" t="str">
        <f>IF(AND('Mapa final'!$AA$57="Media",'Mapa final'!$AC$57="Catastrófico"),CONCATENATE("R9C",'Mapa final'!$Q$57),"")</f>
        <v/>
      </c>
      <c r="AI34" s="42" t="str">
        <f>IF(AND('Mapa final'!$AA$58="Media",'Mapa final'!$AC$58="Catastrófico"),CONCATENATE("R9C",'Mapa final'!$Q$58),"")</f>
        <v/>
      </c>
      <c r="AJ34" s="42" t="str">
        <f>IF(AND('Mapa final'!$AA$59="Media",'Mapa final'!$AC$59="Catastrófico"),CONCATENATE("R9C",'Mapa final'!$Q$59),"")</f>
        <v/>
      </c>
      <c r="AK34" s="42" t="str">
        <f>IF(AND('Mapa final'!$AA$60="Media",'Mapa final'!$AC$60="Catastrófico"),CONCATENATE("R9C",'Mapa final'!$Q$60),"")</f>
        <v/>
      </c>
      <c r="AL34" s="42" t="str">
        <f>IF(AND('Mapa final'!$AA$61="Media",'Mapa final'!$AC$61="Catastrófico"),CONCATENATE("R9C",'Mapa final'!$Q$61),"")</f>
        <v/>
      </c>
      <c r="AM34" s="43" t="str">
        <f>IF(AND('Mapa final'!$AA$62="Media",'Mapa final'!$AC$62="Catastrófico"),CONCATENATE("R9C",'Mapa final'!$Q$62),"")</f>
        <v/>
      </c>
      <c r="AN34" s="70"/>
      <c r="AO34" s="370"/>
      <c r="AP34" s="371"/>
      <c r="AQ34" s="371"/>
      <c r="AR34" s="371"/>
      <c r="AS34" s="371"/>
      <c r="AT34" s="372"/>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39"/>
      <c r="C35" s="239"/>
      <c r="D35" s="240"/>
      <c r="E35" s="342"/>
      <c r="F35" s="343"/>
      <c r="G35" s="343"/>
      <c r="H35" s="343"/>
      <c r="I35" s="357"/>
      <c r="J35" s="54" t="str">
        <f>IF(AND('Mapa final'!$AA$63="Media",'Mapa final'!$AC$63="Leve"),CONCATENATE("R10C",'Mapa final'!$Q$63),"")</f>
        <v/>
      </c>
      <c r="K35" s="55" t="str">
        <f>IF(AND('Mapa final'!$AA$64="Media",'Mapa final'!$AC$64="Leve"),CONCATENATE("R10C",'Mapa final'!$Q$64),"")</f>
        <v/>
      </c>
      <c r="L35" s="55" t="str">
        <f>IF(AND('Mapa final'!$AA$65="Media",'Mapa final'!$AC$65="Leve"),CONCATENATE("R10C",'Mapa final'!$Q$65),"")</f>
        <v/>
      </c>
      <c r="M35" s="55" t="str">
        <f>IF(AND('Mapa final'!$AA$66="Media",'Mapa final'!$AC$66="Leve"),CONCATENATE("R10C",'Mapa final'!$Q$66),"")</f>
        <v/>
      </c>
      <c r="N35" s="55" t="str">
        <f>IF(AND('Mapa final'!$AA$67="Media",'Mapa final'!$AC$67="Leve"),CONCATENATE("R10C",'Mapa final'!$Q$67),"")</f>
        <v/>
      </c>
      <c r="O35" s="56" t="str">
        <f>IF(AND('Mapa final'!$AA$68="Media",'Mapa final'!$AC$68="Leve"),CONCATENATE("R10C",'Mapa final'!$Q$68),"")</f>
        <v/>
      </c>
      <c r="P35" s="54" t="str">
        <f>IF(AND('Mapa final'!$AA$63="Media",'Mapa final'!$AC$63="Menor"),CONCATENATE("R10C",'Mapa final'!$Q$63),"")</f>
        <v/>
      </c>
      <c r="Q35" s="55" t="str">
        <f>IF(AND('Mapa final'!$AA$64="Media",'Mapa final'!$AC$64="Menor"),CONCATENATE("R10C",'Mapa final'!$Q$64),"")</f>
        <v/>
      </c>
      <c r="R35" s="55" t="str">
        <f>IF(AND('Mapa final'!$AA$65="Media",'Mapa final'!$AC$65="Menor"),CONCATENATE("R10C",'Mapa final'!$Q$65),"")</f>
        <v/>
      </c>
      <c r="S35" s="55" t="str">
        <f>IF(AND('Mapa final'!$AA$66="Media",'Mapa final'!$AC$66="Menor"),CONCATENATE("R10C",'Mapa final'!$Q$66),"")</f>
        <v/>
      </c>
      <c r="T35" s="55" t="str">
        <f>IF(AND('Mapa final'!$AA$67="Media",'Mapa final'!$AC$67="Menor"),CONCATENATE("R10C",'Mapa final'!$Q$67),"")</f>
        <v/>
      </c>
      <c r="U35" s="56" t="str">
        <f>IF(AND('Mapa final'!$AA$68="Media",'Mapa final'!$AC$68="Menor"),CONCATENATE("R10C",'Mapa final'!$Q$68),"")</f>
        <v/>
      </c>
      <c r="V35" s="54" t="str">
        <f>IF(AND('Mapa final'!$AA$63="Media",'Mapa final'!$AC$63="Moderado"),CONCATENATE("R10C",'Mapa final'!$Q$63),"")</f>
        <v/>
      </c>
      <c r="W35" s="55" t="str">
        <f>IF(AND('Mapa final'!$AA$64="Media",'Mapa final'!$AC$64="Moderado"),CONCATENATE("R10C",'Mapa final'!$Q$64),"")</f>
        <v/>
      </c>
      <c r="X35" s="55" t="str">
        <f>IF(AND('Mapa final'!$AA$65="Media",'Mapa final'!$AC$65="Moderado"),CONCATENATE("R10C",'Mapa final'!$Q$65),"")</f>
        <v/>
      </c>
      <c r="Y35" s="55" t="str">
        <f>IF(AND('Mapa final'!$AA$66="Media",'Mapa final'!$AC$66="Moderado"),CONCATENATE("R10C",'Mapa final'!$Q$66),"")</f>
        <v/>
      </c>
      <c r="Z35" s="55" t="str">
        <f>IF(AND('Mapa final'!$AA$67="Media",'Mapa final'!$AC$67="Moderado"),CONCATENATE("R10C",'Mapa final'!$Q$67),"")</f>
        <v/>
      </c>
      <c r="AA35" s="56" t="str">
        <f>IF(AND('Mapa final'!$AA$68="Media",'Mapa final'!$AC$68="Moderado"),CONCATENATE("R10C",'Mapa final'!$Q$68),"")</f>
        <v/>
      </c>
      <c r="AB35" s="45" t="str">
        <f>IF(AND('Mapa final'!$AA$63="Media",'Mapa final'!$AC$63="Mayor"),CONCATENATE("R10C",'Mapa final'!$Q$63),"")</f>
        <v/>
      </c>
      <c r="AC35" s="46" t="str">
        <f>IF(AND('Mapa final'!$AA$64="Media",'Mapa final'!$AC$64="Mayor"),CONCATENATE("R10C",'Mapa final'!$Q$64),"")</f>
        <v/>
      </c>
      <c r="AD35" s="46" t="str">
        <f>IF(AND('Mapa final'!$AA$65="Media",'Mapa final'!$AC$65="Mayor"),CONCATENATE("R10C",'Mapa final'!$Q$65),"")</f>
        <v/>
      </c>
      <c r="AE35" s="46" t="str">
        <f>IF(AND('Mapa final'!$AA$66="Media",'Mapa final'!$AC$66="Mayor"),CONCATENATE("R10C",'Mapa final'!$Q$66),"")</f>
        <v/>
      </c>
      <c r="AF35" s="46" t="str">
        <f>IF(AND('Mapa final'!$AA$67="Media",'Mapa final'!$AC$67="Mayor"),CONCATENATE("R10C",'Mapa final'!$Q$67),"")</f>
        <v/>
      </c>
      <c r="AG35" s="47" t="str">
        <f>IF(AND('Mapa final'!$AA$68="Media",'Mapa final'!$AC$68="Mayor"),CONCATENATE("R10C",'Mapa final'!$Q$68),"")</f>
        <v/>
      </c>
      <c r="AH35" s="48" t="str">
        <f>IF(AND('Mapa final'!$AA$63="Media",'Mapa final'!$AC$63="Catastrófico"),CONCATENATE("R10C",'Mapa final'!$Q$63),"")</f>
        <v/>
      </c>
      <c r="AI35" s="49" t="str">
        <f>IF(AND('Mapa final'!$AA$64="Media",'Mapa final'!$AC$64="Catastrófico"),CONCATENATE("R10C",'Mapa final'!$Q$64),"")</f>
        <v/>
      </c>
      <c r="AJ35" s="49" t="str">
        <f>IF(AND('Mapa final'!$AA$65="Media",'Mapa final'!$AC$65="Catastrófico"),CONCATENATE("R10C",'Mapa final'!$Q$65),"")</f>
        <v/>
      </c>
      <c r="AK35" s="49" t="str">
        <f>IF(AND('Mapa final'!$AA$66="Media",'Mapa final'!$AC$66="Catastrófico"),CONCATENATE("R10C",'Mapa final'!$Q$66),"")</f>
        <v/>
      </c>
      <c r="AL35" s="49" t="str">
        <f>IF(AND('Mapa final'!$AA$67="Media",'Mapa final'!$AC$67="Catastrófico"),CONCATENATE("R10C",'Mapa final'!$Q$67),"")</f>
        <v/>
      </c>
      <c r="AM35" s="50" t="str">
        <f>IF(AND('Mapa final'!$AA$68="Media",'Mapa final'!$AC$68="Catastrófico"),CONCATENATE("R10C",'Mapa final'!$Q$68),"")</f>
        <v/>
      </c>
      <c r="AN35" s="70"/>
      <c r="AO35" s="373"/>
      <c r="AP35" s="374"/>
      <c r="AQ35" s="374"/>
      <c r="AR35" s="374"/>
      <c r="AS35" s="374"/>
      <c r="AT35" s="375"/>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39"/>
      <c r="C36" s="239"/>
      <c r="D36" s="240"/>
      <c r="E36" s="336" t="s">
        <v>110</v>
      </c>
      <c r="F36" s="337"/>
      <c r="G36" s="337"/>
      <c r="H36" s="337"/>
      <c r="I36" s="337"/>
      <c r="J36" s="60" t="str">
        <f>IF(AND('Mapa final'!$AA$9="Baja",'Mapa final'!$AC$9="Leve"),CONCATENATE("R1C",'Mapa final'!$Q$9),"")</f>
        <v/>
      </c>
      <c r="K36" s="61" t="str">
        <f>IF(AND('Mapa final'!$AA$10="Baja",'Mapa final'!$AC$10="Leve"),CONCATENATE("R1C",'Mapa final'!$Q$10),"")</f>
        <v/>
      </c>
      <c r="L36" s="61" t="str">
        <f>IF(AND('Mapa final'!$AA$11="Baja",'Mapa final'!$AC$11="Leve"),CONCATENATE("R1C",'Mapa final'!$Q$11),"")</f>
        <v/>
      </c>
      <c r="M36" s="61" t="str">
        <f>IF(AND('Mapa final'!$AA$12="Baja",'Mapa final'!$AC$12="Leve"),CONCATENATE("R1C",'Mapa final'!$Q$12),"")</f>
        <v/>
      </c>
      <c r="N36" s="61" t="str">
        <f>IF(AND('Mapa final'!$AA$13="Baja",'Mapa final'!$AC$13="Leve"),CONCATENATE("R1C",'Mapa final'!$Q$13),"")</f>
        <v/>
      </c>
      <c r="O36" s="62" t="str">
        <f>IF(AND('Mapa final'!$AA$14="Baja",'Mapa final'!$AC$14="Leve"),CONCATENATE("R1C",'Mapa final'!$Q$14),"")</f>
        <v/>
      </c>
      <c r="P36" s="51" t="str">
        <f>IF(AND('Mapa final'!$AA$9="Baja",'Mapa final'!$AC$9="Menor"),CONCATENATE("R1C",'Mapa final'!$Q$9),"")</f>
        <v/>
      </c>
      <c r="Q36" s="52" t="str">
        <f>IF(AND('Mapa final'!$AA$10="Baja",'Mapa final'!$AC$10="Menor"),CONCATENATE("R1C",'Mapa final'!$Q$10),"")</f>
        <v/>
      </c>
      <c r="R36" s="52" t="str">
        <f>IF(AND('Mapa final'!$AA$11="Baja",'Mapa final'!$AC$11="Menor"),CONCATENATE("R1C",'Mapa final'!$Q$11),"")</f>
        <v/>
      </c>
      <c r="S36" s="52" t="str">
        <f>IF(AND('Mapa final'!$AA$12="Baja",'Mapa final'!$AC$12="Menor"),CONCATENATE("R1C",'Mapa final'!$Q$12),"")</f>
        <v/>
      </c>
      <c r="T36" s="52" t="str">
        <f>IF(AND('Mapa final'!$AA$13="Baja",'Mapa final'!$AC$13="Menor"),CONCATENATE("R1C",'Mapa final'!$Q$13),"")</f>
        <v/>
      </c>
      <c r="U36" s="53" t="str">
        <f>IF(AND('Mapa final'!$AA$14="Baja",'Mapa final'!$AC$14="Menor"),CONCATENATE("R1C",'Mapa final'!$Q$14),"")</f>
        <v/>
      </c>
      <c r="V36" s="51" t="str">
        <f>IF(AND('Mapa final'!$AA$9="Baja",'Mapa final'!$AC$9="Moderado"),CONCATENATE("R1C",'Mapa final'!$Q$9),"")</f>
        <v/>
      </c>
      <c r="W36" s="52" t="str">
        <f>IF(AND('Mapa final'!$AA$10="Baja",'Mapa final'!$AC$10="Moderado"),CONCATENATE("R1C",'Mapa final'!$Q$10),"")</f>
        <v/>
      </c>
      <c r="X36" s="52" t="str">
        <f>IF(AND('Mapa final'!$AA$11="Baja",'Mapa final'!$AC$11="Moderado"),CONCATENATE("R1C",'Mapa final'!$Q$11),"")</f>
        <v>R1C3</v>
      </c>
      <c r="Y36" s="52" t="str">
        <f>IF(AND('Mapa final'!$AA$12="Baja",'Mapa final'!$AC$12="Moderado"),CONCATENATE("R1C",'Mapa final'!$Q$12),"")</f>
        <v>R1C4</v>
      </c>
      <c r="Z36" s="52" t="str">
        <f>IF(AND('Mapa final'!$AA$13="Baja",'Mapa final'!$AC$13="Moderado"),CONCATENATE("R1C",'Mapa final'!$Q$13),"")</f>
        <v/>
      </c>
      <c r="AA36" s="53" t="str">
        <f>IF(AND('Mapa final'!$AA$14="Baja",'Mapa final'!$AC$14="Moderado"),CONCATENATE("R1C",'Mapa final'!$Q$14),"")</f>
        <v/>
      </c>
      <c r="AB36" s="32" t="str">
        <f>IF(AND('Mapa final'!$AA$9="Baja",'Mapa final'!$AC$9="Mayor"),CONCATENATE("R1C",'Mapa final'!$Q$9),"")</f>
        <v>R1C1</v>
      </c>
      <c r="AC36" s="33" t="str">
        <f>IF(AND('Mapa final'!$AA$10="Baja",'Mapa final'!$AC$10="Mayor"),CONCATENATE("R1C",'Mapa final'!$Q$10),"")</f>
        <v>R1C2</v>
      </c>
      <c r="AD36" s="33" t="str">
        <f>IF(AND('Mapa final'!$AA$11="Baja",'Mapa final'!$AC$11="Mayor"),CONCATENATE("R1C",'Mapa final'!$Q$11),"")</f>
        <v/>
      </c>
      <c r="AE36" s="33" t="str">
        <f>IF(AND('Mapa final'!$AA$12="Baja",'Mapa final'!$AC$12="Mayor"),CONCATENATE("R1C",'Mapa final'!$Q$12),"")</f>
        <v/>
      </c>
      <c r="AF36" s="33" t="str">
        <f>IF(AND('Mapa final'!$AA$13="Baja",'Mapa final'!$AC$13="Mayor"),CONCATENATE("R1C",'Mapa final'!$Q$13),"")</f>
        <v/>
      </c>
      <c r="AG36" s="34" t="str">
        <f>IF(AND('Mapa final'!$AA$14="Baja",'Mapa final'!$AC$14="Mayor"),CONCATENATE("R1C",'Mapa final'!$Q$14),"")</f>
        <v/>
      </c>
      <c r="AH36" s="35" t="str">
        <f>IF(AND('Mapa final'!$AA$9="Baja",'Mapa final'!$AC$9="Catastrófico"),CONCATENATE("R1C",'Mapa final'!$Q$9),"")</f>
        <v/>
      </c>
      <c r="AI36" s="36" t="str">
        <f>IF(AND('Mapa final'!$AA$10="Baja",'Mapa final'!$AC$10="Catastrófico"),CONCATENATE("R1C",'Mapa final'!$Q$10),"")</f>
        <v/>
      </c>
      <c r="AJ36" s="36" t="str">
        <f>IF(AND('Mapa final'!$AA$11="Baja",'Mapa final'!$AC$11="Catastrófico"),CONCATENATE("R1C",'Mapa final'!$Q$11),"")</f>
        <v/>
      </c>
      <c r="AK36" s="36" t="str">
        <f>IF(AND('Mapa final'!$AA$12="Baja",'Mapa final'!$AC$12="Catastrófico"),CONCATENATE("R1C",'Mapa final'!$Q$12),"")</f>
        <v/>
      </c>
      <c r="AL36" s="36" t="str">
        <f>IF(AND('Mapa final'!$AA$13="Baja",'Mapa final'!$AC$13="Catastrófico"),CONCATENATE("R1C",'Mapa final'!$Q$13),"")</f>
        <v/>
      </c>
      <c r="AM36" s="37" t="str">
        <f>IF(AND('Mapa final'!$AA$14="Baja",'Mapa final'!$AC$14="Catastrófico"),CONCATENATE("R1C",'Mapa final'!$Q$14),"")</f>
        <v/>
      </c>
      <c r="AN36" s="70"/>
      <c r="AO36" s="358" t="s">
        <v>78</v>
      </c>
      <c r="AP36" s="359"/>
      <c r="AQ36" s="359"/>
      <c r="AR36" s="359"/>
      <c r="AS36" s="359"/>
      <c r="AT36" s="36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39"/>
      <c r="C37" s="239"/>
      <c r="D37" s="240"/>
      <c r="E37" s="338"/>
      <c r="F37" s="339"/>
      <c r="G37" s="339"/>
      <c r="H37" s="339"/>
      <c r="I37" s="339"/>
      <c r="J37" s="63" t="str">
        <f>IF(AND('Mapa final'!$AA$15="Baja",'Mapa final'!$AC$15="Leve"),CONCATENATE("R2C",'Mapa final'!$Q$15),"")</f>
        <v/>
      </c>
      <c r="K37" s="64" t="str">
        <f>IF(AND('Mapa final'!$AA$16="Baja",'Mapa final'!$AC$16="Leve"),CONCATENATE("R2C",'Mapa final'!$Q$16),"")</f>
        <v/>
      </c>
      <c r="L37" s="64" t="str">
        <f>IF(AND('Mapa final'!$AA$17="Baja",'Mapa final'!$AC$17="Leve"),CONCATENATE("R2C",'Mapa final'!$Q$17),"")</f>
        <v/>
      </c>
      <c r="M37" s="64" t="str">
        <f>IF(AND('Mapa final'!$AA$18="Baja",'Mapa final'!$AC$18="Leve"),CONCATENATE("R2C",'Mapa final'!$Q$18),"")</f>
        <v/>
      </c>
      <c r="N37" s="64" t="str">
        <f>IF(AND('Mapa final'!$AA$19="Baja",'Mapa final'!$AC$19="Leve"),CONCATENATE("R2C",'Mapa final'!$Q$19),"")</f>
        <v/>
      </c>
      <c r="O37" s="65" t="str">
        <f>IF(AND('Mapa final'!$AA$20="Baja",'Mapa final'!$AC$20="Leve"),CONCATENATE("R2C",'Mapa final'!$Q$20),"")</f>
        <v/>
      </c>
      <c r="P37" s="54" t="str">
        <f>IF(AND('Mapa final'!$AA$15="Baja",'Mapa final'!$AC$15="Menor"),CONCATENATE("R2C",'Mapa final'!$Q$15),"")</f>
        <v/>
      </c>
      <c r="Q37" s="55" t="str">
        <f>IF(AND('Mapa final'!$AA$16="Baja",'Mapa final'!$AC$16="Menor"),CONCATENATE("R2C",'Mapa final'!$Q$16),"")</f>
        <v/>
      </c>
      <c r="R37" s="55" t="str">
        <f>IF(AND('Mapa final'!$AA$17="Baja",'Mapa final'!$AC$17="Menor"),CONCATENATE("R2C",'Mapa final'!$Q$17),"")</f>
        <v/>
      </c>
      <c r="S37" s="55" t="str">
        <f>IF(AND('Mapa final'!$AA$18="Baja",'Mapa final'!$AC$18="Menor"),CONCATENATE("R2C",'Mapa final'!$Q$18),"")</f>
        <v/>
      </c>
      <c r="T37" s="55" t="str">
        <f>IF(AND('Mapa final'!$AA$19="Baja",'Mapa final'!$AC$19="Menor"),CONCATENATE("R2C",'Mapa final'!$Q$19),"")</f>
        <v/>
      </c>
      <c r="U37" s="56" t="str">
        <f>IF(AND('Mapa final'!$AA$20="Baja",'Mapa final'!$AC$20="Menor"),CONCATENATE("R2C",'Mapa final'!$Q$20),"")</f>
        <v/>
      </c>
      <c r="V37" s="54" t="str">
        <f>IF(AND('Mapa final'!$AA$15="Baja",'Mapa final'!$AC$15="Moderado"),CONCATENATE("R2C",'Mapa final'!$Q$15),"")</f>
        <v/>
      </c>
      <c r="W37" s="55" t="str">
        <f>IF(AND('Mapa final'!$AA$16="Baja",'Mapa final'!$AC$16="Moderado"),CONCATENATE("R2C",'Mapa final'!$Q$16),"")</f>
        <v/>
      </c>
      <c r="X37" s="55" t="str">
        <f>IF(AND('Mapa final'!$AA$17="Baja",'Mapa final'!$AC$17="Moderado"),CONCATENATE("R2C",'Mapa final'!$Q$17),"")</f>
        <v/>
      </c>
      <c r="Y37" s="55" t="str">
        <f>IF(AND('Mapa final'!$AA$18="Baja",'Mapa final'!$AC$18="Moderado"),CONCATENATE("R2C",'Mapa final'!$Q$18),"")</f>
        <v/>
      </c>
      <c r="Z37" s="55" t="str">
        <f>IF(AND('Mapa final'!$AA$19="Baja",'Mapa final'!$AC$19="Moderado"),CONCATENATE("R2C",'Mapa final'!$Q$19),"")</f>
        <v/>
      </c>
      <c r="AA37" s="56" t="str">
        <f>IF(AND('Mapa final'!$AA$20="Baja",'Mapa final'!$AC$20="Moderado"),CONCATENATE("R2C",'Mapa final'!$Q$20),"")</f>
        <v/>
      </c>
      <c r="AB37" s="38" t="str">
        <f>IF(AND('Mapa final'!$AA$15="Baja",'Mapa final'!$AC$15="Mayor"),CONCATENATE("R2C",'Mapa final'!$Q$15),"")</f>
        <v/>
      </c>
      <c r="AC37" s="39" t="str">
        <f>IF(AND('Mapa final'!$AA$16="Baja",'Mapa final'!$AC$16="Mayor"),CONCATENATE("R2C",'Mapa final'!$Q$16),"")</f>
        <v/>
      </c>
      <c r="AD37" s="39" t="str">
        <f>IF(AND('Mapa final'!$AA$17="Baja",'Mapa final'!$AC$17="Mayor"),CONCATENATE("R2C",'Mapa final'!$Q$17),"")</f>
        <v/>
      </c>
      <c r="AE37" s="39" t="str">
        <f>IF(AND('Mapa final'!$AA$18="Baja",'Mapa final'!$AC$18="Mayor"),CONCATENATE("R2C",'Mapa final'!$Q$18),"")</f>
        <v/>
      </c>
      <c r="AF37" s="39" t="str">
        <f>IF(AND('Mapa final'!$AA$19="Baja",'Mapa final'!$AC$19="Mayor"),CONCATENATE("R2C",'Mapa final'!$Q$19),"")</f>
        <v/>
      </c>
      <c r="AG37" s="40" t="str">
        <f>IF(AND('Mapa final'!$AA$20="Baja",'Mapa final'!$AC$20="Mayor"),CONCATENATE("R2C",'Mapa final'!$Q$20),"")</f>
        <v/>
      </c>
      <c r="AH37" s="41" t="str">
        <f>IF(AND('Mapa final'!$AA$15="Baja",'Mapa final'!$AC$15="Catastrófico"),CONCATENATE("R2C",'Mapa final'!$Q$15),"")</f>
        <v/>
      </c>
      <c r="AI37" s="42" t="str">
        <f>IF(AND('Mapa final'!$AA$16="Baja",'Mapa final'!$AC$16="Catastrófico"),CONCATENATE("R2C",'Mapa final'!$Q$16),"")</f>
        <v/>
      </c>
      <c r="AJ37" s="42" t="str">
        <f>IF(AND('Mapa final'!$AA$17="Baja",'Mapa final'!$AC$17="Catastrófico"),CONCATENATE("R2C",'Mapa final'!$Q$17),"")</f>
        <v/>
      </c>
      <c r="AK37" s="42" t="str">
        <f>IF(AND('Mapa final'!$AA$18="Baja",'Mapa final'!$AC$18="Catastrófico"),CONCATENATE("R2C",'Mapa final'!$Q$18),"")</f>
        <v/>
      </c>
      <c r="AL37" s="42" t="str">
        <f>IF(AND('Mapa final'!$AA$19="Baja",'Mapa final'!$AC$19="Catastrófico"),CONCATENATE("R2C",'Mapa final'!$Q$19),"")</f>
        <v/>
      </c>
      <c r="AM37" s="43" t="str">
        <f>IF(AND('Mapa final'!$AA$20="Baja",'Mapa final'!$AC$20="Catastrófico"),CONCATENATE("R2C",'Mapa final'!$Q$20),"")</f>
        <v/>
      </c>
      <c r="AN37" s="70"/>
      <c r="AO37" s="361"/>
      <c r="AP37" s="362"/>
      <c r="AQ37" s="362"/>
      <c r="AR37" s="362"/>
      <c r="AS37" s="362"/>
      <c r="AT37" s="363"/>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39"/>
      <c r="C38" s="239"/>
      <c r="D38" s="240"/>
      <c r="E38" s="340"/>
      <c r="F38" s="341"/>
      <c r="G38" s="341"/>
      <c r="H38" s="341"/>
      <c r="I38" s="339"/>
      <c r="J38" s="63" t="str">
        <f>IF(AND('Mapa final'!$AA$21="Baja",'Mapa final'!$AC$21="Leve"),CONCATENATE("R3C",'Mapa final'!$Q$21),"")</f>
        <v/>
      </c>
      <c r="K38" s="64" t="str">
        <f>IF(AND('Mapa final'!$AA$22="Baja",'Mapa final'!$AC$22="Leve"),CONCATENATE("R3C",'Mapa final'!$Q$22),"")</f>
        <v/>
      </c>
      <c r="L38" s="64" t="str">
        <f>IF(AND('Mapa final'!$AA$23="Baja",'Mapa final'!$AC$23="Leve"),CONCATENATE("R3C",'Mapa final'!$Q$23),"")</f>
        <v/>
      </c>
      <c r="M38" s="64" t="str">
        <f>IF(AND('Mapa final'!$AA$24="Baja",'Mapa final'!$AC$24="Leve"),CONCATENATE("R3C",'Mapa final'!$Q$24),"")</f>
        <v/>
      </c>
      <c r="N38" s="64" t="str">
        <f>IF(AND('Mapa final'!$AA$25="Baja",'Mapa final'!$AC$25="Leve"),CONCATENATE("R3C",'Mapa final'!$Q$25),"")</f>
        <v/>
      </c>
      <c r="O38" s="65" t="str">
        <f>IF(AND('Mapa final'!$AA$26="Baja",'Mapa final'!$AC$26="Leve"),CONCATENATE("R3C",'Mapa final'!$Q$26),"")</f>
        <v/>
      </c>
      <c r="P38" s="54" t="str">
        <f>IF(AND('Mapa final'!$AA$21="Baja",'Mapa final'!$AC$21="Menor"),CONCATENATE("R3C",'Mapa final'!$Q$21),"")</f>
        <v/>
      </c>
      <c r="Q38" s="55" t="str">
        <f>IF(AND('Mapa final'!$AA$22="Baja",'Mapa final'!$AC$22="Menor"),CONCATENATE("R3C",'Mapa final'!$Q$22),"")</f>
        <v/>
      </c>
      <c r="R38" s="55" t="str">
        <f>IF(AND('Mapa final'!$AA$23="Baja",'Mapa final'!$AC$23="Menor"),CONCATENATE("R3C",'Mapa final'!$Q$23),"")</f>
        <v/>
      </c>
      <c r="S38" s="55" t="str">
        <f>IF(AND('Mapa final'!$AA$24="Baja",'Mapa final'!$AC$24="Menor"),CONCATENATE("R3C",'Mapa final'!$Q$24),"")</f>
        <v/>
      </c>
      <c r="T38" s="55" t="str">
        <f>IF(AND('Mapa final'!$AA$25="Baja",'Mapa final'!$AC$25="Menor"),CONCATENATE("R3C",'Mapa final'!$Q$25),"")</f>
        <v/>
      </c>
      <c r="U38" s="56" t="str">
        <f>IF(AND('Mapa final'!$AA$26="Baja",'Mapa final'!$AC$26="Menor"),CONCATENATE("R3C",'Mapa final'!$Q$26),"")</f>
        <v/>
      </c>
      <c r="V38" s="54" t="str">
        <f>IF(AND('Mapa final'!$AA$21="Baja",'Mapa final'!$AC$21="Moderado"),CONCATENATE("R3C",'Mapa final'!$Q$21),"")</f>
        <v/>
      </c>
      <c r="W38" s="55" t="str">
        <f>IF(AND('Mapa final'!$AA$22="Baja",'Mapa final'!$AC$22="Moderado"),CONCATENATE("R3C",'Mapa final'!$Q$22),"")</f>
        <v/>
      </c>
      <c r="X38" s="55" t="str">
        <f>IF(AND('Mapa final'!$AA$23="Baja",'Mapa final'!$AC$23="Moderado"),CONCATENATE("R3C",'Mapa final'!$Q$23),"")</f>
        <v/>
      </c>
      <c r="Y38" s="55" t="str">
        <f>IF(AND('Mapa final'!$AA$24="Baja",'Mapa final'!$AC$24="Moderado"),CONCATENATE("R3C",'Mapa final'!$Q$24),"")</f>
        <v/>
      </c>
      <c r="Z38" s="55" t="str">
        <f>IF(AND('Mapa final'!$AA$25="Baja",'Mapa final'!$AC$25="Moderado"),CONCATENATE("R3C",'Mapa final'!$Q$25),"")</f>
        <v/>
      </c>
      <c r="AA38" s="56" t="str">
        <f>IF(AND('Mapa final'!$AA$26="Baja",'Mapa final'!$AC$26="Moderado"),CONCATENATE("R3C",'Mapa final'!$Q$26),"")</f>
        <v/>
      </c>
      <c r="AB38" s="38" t="str">
        <f>IF(AND('Mapa final'!$AA$21="Baja",'Mapa final'!$AC$21="Mayor"),CONCATENATE("R3C",'Mapa final'!$Q$21),"")</f>
        <v/>
      </c>
      <c r="AC38" s="39" t="str">
        <f>IF(AND('Mapa final'!$AA$22="Baja",'Mapa final'!$AC$22="Mayor"),CONCATENATE("R3C",'Mapa final'!$Q$22),"")</f>
        <v/>
      </c>
      <c r="AD38" s="39" t="str">
        <f>IF(AND('Mapa final'!$AA$23="Baja",'Mapa final'!$AC$23="Mayor"),CONCATENATE("R3C",'Mapa final'!$Q$23),"")</f>
        <v/>
      </c>
      <c r="AE38" s="39" t="str">
        <f>IF(AND('Mapa final'!$AA$24="Baja",'Mapa final'!$AC$24="Mayor"),CONCATENATE("R3C",'Mapa final'!$Q$24),"")</f>
        <v/>
      </c>
      <c r="AF38" s="39" t="str">
        <f>IF(AND('Mapa final'!$AA$25="Baja",'Mapa final'!$AC$25="Mayor"),CONCATENATE("R3C",'Mapa final'!$Q$25),"")</f>
        <v/>
      </c>
      <c r="AG38" s="40" t="str">
        <f>IF(AND('Mapa final'!$AA$26="Baja",'Mapa final'!$AC$26="Mayor"),CONCATENATE("R3C",'Mapa final'!$Q$26),"")</f>
        <v/>
      </c>
      <c r="AH38" s="41" t="str">
        <f>IF(AND('Mapa final'!$AA$21="Baja",'Mapa final'!$AC$21="Catastrófico"),CONCATENATE("R3C",'Mapa final'!$Q$21),"")</f>
        <v/>
      </c>
      <c r="AI38" s="42" t="str">
        <f>IF(AND('Mapa final'!$AA$22="Baja",'Mapa final'!$AC$22="Catastrófico"),CONCATENATE("R3C",'Mapa final'!$Q$22),"")</f>
        <v/>
      </c>
      <c r="AJ38" s="42" t="str">
        <f>IF(AND('Mapa final'!$AA$23="Baja",'Mapa final'!$AC$23="Catastrófico"),CONCATENATE("R3C",'Mapa final'!$Q$23),"")</f>
        <v/>
      </c>
      <c r="AK38" s="42" t="str">
        <f>IF(AND('Mapa final'!$AA$24="Baja",'Mapa final'!$AC$24="Catastrófico"),CONCATENATE("R3C",'Mapa final'!$Q$24),"")</f>
        <v/>
      </c>
      <c r="AL38" s="42" t="str">
        <f>IF(AND('Mapa final'!$AA$25="Baja",'Mapa final'!$AC$25="Catastrófico"),CONCATENATE("R3C",'Mapa final'!$Q$25),"")</f>
        <v/>
      </c>
      <c r="AM38" s="43" t="str">
        <f>IF(AND('Mapa final'!$AA$26="Baja",'Mapa final'!$AC$26="Catastrófico"),CONCATENATE("R3C",'Mapa final'!$Q$26),"")</f>
        <v/>
      </c>
      <c r="AN38" s="70"/>
      <c r="AO38" s="361"/>
      <c r="AP38" s="362"/>
      <c r="AQ38" s="362"/>
      <c r="AR38" s="362"/>
      <c r="AS38" s="362"/>
      <c r="AT38" s="363"/>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39"/>
      <c r="C39" s="239"/>
      <c r="D39" s="240"/>
      <c r="E39" s="340"/>
      <c r="F39" s="341"/>
      <c r="G39" s="341"/>
      <c r="H39" s="341"/>
      <c r="I39" s="339"/>
      <c r="J39" s="63" t="str">
        <f>IF(AND('Mapa final'!$AA$27="Baja",'Mapa final'!$AC$27="Leve"),CONCATENATE("R4C",'Mapa final'!$Q$27),"")</f>
        <v/>
      </c>
      <c r="K39" s="64" t="str">
        <f>IF(AND('Mapa final'!$AA$28="Baja",'Mapa final'!$AC$28="Leve"),CONCATENATE("R4C",'Mapa final'!$Q$28),"")</f>
        <v/>
      </c>
      <c r="L39" s="64" t="str">
        <f>IF(AND('Mapa final'!$AA$29="Baja",'Mapa final'!$AC$29="Leve"),CONCATENATE("R4C",'Mapa final'!$Q$29),"")</f>
        <v/>
      </c>
      <c r="M39" s="64" t="str">
        <f>IF(AND('Mapa final'!$AA$30="Baja",'Mapa final'!$AC$30="Leve"),CONCATENATE("R4C",'Mapa final'!$Q$30),"")</f>
        <v/>
      </c>
      <c r="N39" s="64" t="str">
        <f>IF(AND('Mapa final'!$AA$31="Baja",'Mapa final'!$AC$31="Leve"),CONCATENATE("R4C",'Mapa final'!$Q$31),"")</f>
        <v/>
      </c>
      <c r="O39" s="65" t="str">
        <f>IF(AND('Mapa final'!$AA$32="Baja",'Mapa final'!$AC$32="Leve"),CONCATENATE("R4C",'Mapa final'!$Q$32),"")</f>
        <v/>
      </c>
      <c r="P39" s="54" t="str">
        <f>IF(AND('Mapa final'!$AA$27="Baja",'Mapa final'!$AC$27="Menor"),CONCATENATE("R4C",'Mapa final'!$Q$27),"")</f>
        <v/>
      </c>
      <c r="Q39" s="55" t="str">
        <f>IF(AND('Mapa final'!$AA$28="Baja",'Mapa final'!$AC$28="Menor"),CONCATENATE("R4C",'Mapa final'!$Q$28),"")</f>
        <v/>
      </c>
      <c r="R39" s="55" t="str">
        <f>IF(AND('Mapa final'!$AA$29="Baja",'Mapa final'!$AC$29="Menor"),CONCATENATE("R4C",'Mapa final'!$Q$29),"")</f>
        <v/>
      </c>
      <c r="S39" s="55" t="str">
        <f>IF(AND('Mapa final'!$AA$30="Baja",'Mapa final'!$AC$30="Menor"),CONCATENATE("R4C",'Mapa final'!$Q$30),"")</f>
        <v/>
      </c>
      <c r="T39" s="55" t="str">
        <f>IF(AND('Mapa final'!$AA$31="Baja",'Mapa final'!$AC$31="Menor"),CONCATENATE("R4C",'Mapa final'!$Q$31),"")</f>
        <v/>
      </c>
      <c r="U39" s="56" t="str">
        <f>IF(AND('Mapa final'!$AA$32="Baja",'Mapa final'!$AC$32="Menor"),CONCATENATE("R4C",'Mapa final'!$Q$32),"")</f>
        <v/>
      </c>
      <c r="V39" s="54" t="str">
        <f>IF(AND('Mapa final'!$AA$27="Baja",'Mapa final'!$AC$27="Moderado"),CONCATENATE("R4C",'Mapa final'!$Q$27),"")</f>
        <v/>
      </c>
      <c r="W39" s="55" t="str">
        <f>IF(AND('Mapa final'!$AA$28="Baja",'Mapa final'!$AC$28="Moderado"),CONCATENATE("R4C",'Mapa final'!$Q$28),"")</f>
        <v/>
      </c>
      <c r="X39" s="55" t="str">
        <f>IF(AND('Mapa final'!$AA$29="Baja",'Mapa final'!$AC$29="Moderado"),CONCATENATE("R4C",'Mapa final'!$Q$29),"")</f>
        <v/>
      </c>
      <c r="Y39" s="55" t="str">
        <f>IF(AND('Mapa final'!$AA$30="Baja",'Mapa final'!$AC$30="Moderado"),CONCATENATE("R4C",'Mapa final'!$Q$30),"")</f>
        <v/>
      </c>
      <c r="Z39" s="55" t="str">
        <f>IF(AND('Mapa final'!$AA$31="Baja",'Mapa final'!$AC$31="Moderado"),CONCATENATE("R4C",'Mapa final'!$Q$31),"")</f>
        <v/>
      </c>
      <c r="AA39" s="56" t="str">
        <f>IF(AND('Mapa final'!$AA$32="Baja",'Mapa final'!$AC$32="Moderado"),CONCATENATE("R4C",'Mapa final'!$Q$32),"")</f>
        <v/>
      </c>
      <c r="AB39" s="38" t="str">
        <f>IF(AND('Mapa final'!$AA$27="Baja",'Mapa final'!$AC$27="Mayor"),CONCATENATE("R4C",'Mapa final'!$Q$27),"")</f>
        <v/>
      </c>
      <c r="AC39" s="39" t="str">
        <f>IF(AND('Mapa final'!$AA$28="Baja",'Mapa final'!$AC$28="Mayor"),CONCATENATE("R4C",'Mapa final'!$Q$28),"")</f>
        <v/>
      </c>
      <c r="AD39" s="39" t="str">
        <f>IF(AND('Mapa final'!$AA$29="Baja",'Mapa final'!$AC$29="Mayor"),CONCATENATE("R4C",'Mapa final'!$Q$29),"")</f>
        <v/>
      </c>
      <c r="AE39" s="39" t="str">
        <f>IF(AND('Mapa final'!$AA$30="Baja",'Mapa final'!$AC$30="Mayor"),CONCATENATE("R4C",'Mapa final'!$Q$30),"")</f>
        <v/>
      </c>
      <c r="AF39" s="39" t="str">
        <f>IF(AND('Mapa final'!$AA$31="Baja",'Mapa final'!$AC$31="Mayor"),CONCATENATE("R4C",'Mapa final'!$Q$31),"")</f>
        <v/>
      </c>
      <c r="AG39" s="40" t="str">
        <f>IF(AND('Mapa final'!$AA$32="Baja",'Mapa final'!$AC$32="Mayor"),CONCATENATE("R4C",'Mapa final'!$Q$32),"")</f>
        <v/>
      </c>
      <c r="AH39" s="41" t="str">
        <f>IF(AND('Mapa final'!$AA$27="Baja",'Mapa final'!$AC$27="Catastrófico"),CONCATENATE("R4C",'Mapa final'!$Q$27),"")</f>
        <v/>
      </c>
      <c r="AI39" s="42" t="str">
        <f>IF(AND('Mapa final'!$AA$28="Baja",'Mapa final'!$AC$28="Catastrófico"),CONCATENATE("R4C",'Mapa final'!$Q$28),"")</f>
        <v/>
      </c>
      <c r="AJ39" s="42" t="str">
        <f>IF(AND('Mapa final'!$AA$29="Baja",'Mapa final'!$AC$29="Catastrófico"),CONCATENATE("R4C",'Mapa final'!$Q$29),"")</f>
        <v/>
      </c>
      <c r="AK39" s="42" t="str">
        <f>IF(AND('Mapa final'!$AA$30="Baja",'Mapa final'!$AC$30="Catastrófico"),CONCATENATE("R4C",'Mapa final'!$Q$30),"")</f>
        <v/>
      </c>
      <c r="AL39" s="42" t="str">
        <f>IF(AND('Mapa final'!$AA$31="Baja",'Mapa final'!$AC$31="Catastrófico"),CONCATENATE("R4C",'Mapa final'!$Q$31),"")</f>
        <v/>
      </c>
      <c r="AM39" s="43" t="str">
        <f>IF(AND('Mapa final'!$AA$32="Baja",'Mapa final'!$AC$32="Catastrófico"),CONCATENATE("R4C",'Mapa final'!$Q$32),"")</f>
        <v/>
      </c>
      <c r="AN39" s="70"/>
      <c r="AO39" s="361"/>
      <c r="AP39" s="362"/>
      <c r="AQ39" s="362"/>
      <c r="AR39" s="362"/>
      <c r="AS39" s="362"/>
      <c r="AT39" s="363"/>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39"/>
      <c r="C40" s="239"/>
      <c r="D40" s="240"/>
      <c r="E40" s="340"/>
      <c r="F40" s="341"/>
      <c r="G40" s="341"/>
      <c r="H40" s="341"/>
      <c r="I40" s="339"/>
      <c r="J40" s="63" t="str">
        <f>IF(AND('Mapa final'!$AA$33="Baja",'Mapa final'!$AC$33="Leve"),CONCATENATE("R5C",'Mapa final'!$Q$33),"")</f>
        <v/>
      </c>
      <c r="K40" s="64" t="str">
        <f>IF(AND('Mapa final'!$AA$34="Baja",'Mapa final'!$AC$34="Leve"),CONCATENATE("R5C",'Mapa final'!$Q$34),"")</f>
        <v/>
      </c>
      <c r="L40" s="64" t="str">
        <f>IF(AND('Mapa final'!$AA$35="Baja",'Mapa final'!$AC$35="Leve"),CONCATENATE("R5C",'Mapa final'!$Q$35),"")</f>
        <v/>
      </c>
      <c r="M40" s="64" t="str">
        <f>IF(AND('Mapa final'!$AA$36="Baja",'Mapa final'!$AC$36="Leve"),CONCATENATE("R5C",'Mapa final'!$Q$36),"")</f>
        <v/>
      </c>
      <c r="N40" s="64" t="str">
        <f>IF(AND('Mapa final'!$AA$37="Baja",'Mapa final'!$AC$37="Leve"),CONCATENATE("R5C",'Mapa final'!$Q$37),"")</f>
        <v/>
      </c>
      <c r="O40" s="65" t="str">
        <f>IF(AND('Mapa final'!$AA$38="Baja",'Mapa final'!$AC$38="Leve"),CONCATENATE("R5C",'Mapa final'!$Q$38),"")</f>
        <v/>
      </c>
      <c r="P40" s="54" t="str">
        <f>IF(AND('Mapa final'!$AA$33="Baja",'Mapa final'!$AC$33="Menor"),CONCATENATE("R5C",'Mapa final'!$Q$33),"")</f>
        <v/>
      </c>
      <c r="Q40" s="55" t="str">
        <f>IF(AND('Mapa final'!$AA$34="Baja",'Mapa final'!$AC$34="Menor"),CONCATENATE("R5C",'Mapa final'!$Q$34),"")</f>
        <v/>
      </c>
      <c r="R40" s="55" t="str">
        <f>IF(AND('Mapa final'!$AA$35="Baja",'Mapa final'!$AC$35="Menor"),CONCATENATE("R5C",'Mapa final'!$Q$35),"")</f>
        <v/>
      </c>
      <c r="S40" s="55" t="str">
        <f>IF(AND('Mapa final'!$AA$36="Baja",'Mapa final'!$AC$36="Menor"),CONCATENATE("R5C",'Mapa final'!$Q$36),"")</f>
        <v/>
      </c>
      <c r="T40" s="55" t="str">
        <f>IF(AND('Mapa final'!$AA$37="Baja",'Mapa final'!$AC$37="Menor"),CONCATENATE("R5C",'Mapa final'!$Q$37),"")</f>
        <v/>
      </c>
      <c r="U40" s="56" t="str">
        <f>IF(AND('Mapa final'!$AA$38="Baja",'Mapa final'!$AC$38="Menor"),CONCATENATE("R5C",'Mapa final'!$Q$38),"")</f>
        <v/>
      </c>
      <c r="V40" s="54" t="str">
        <f>IF(AND('Mapa final'!$AA$33="Baja",'Mapa final'!$AC$33="Moderado"),CONCATENATE("R5C",'Mapa final'!$Q$33),"")</f>
        <v/>
      </c>
      <c r="W40" s="55" t="str">
        <f>IF(AND('Mapa final'!$AA$34="Baja",'Mapa final'!$AC$34="Moderado"),CONCATENATE("R5C",'Mapa final'!$Q$34),"")</f>
        <v/>
      </c>
      <c r="X40" s="55" t="str">
        <f>IF(AND('Mapa final'!$AA$35="Baja",'Mapa final'!$AC$35="Moderado"),CONCATENATE("R5C",'Mapa final'!$Q$35),"")</f>
        <v/>
      </c>
      <c r="Y40" s="55" t="str">
        <f>IF(AND('Mapa final'!$AA$36="Baja",'Mapa final'!$AC$36="Moderado"),CONCATENATE("R5C",'Mapa final'!$Q$36),"")</f>
        <v/>
      </c>
      <c r="Z40" s="55" t="str">
        <f>IF(AND('Mapa final'!$AA$37="Baja",'Mapa final'!$AC$37="Moderado"),CONCATENATE("R5C",'Mapa final'!$Q$37),"")</f>
        <v/>
      </c>
      <c r="AA40" s="56" t="str">
        <f>IF(AND('Mapa final'!$AA$38="Baja",'Mapa final'!$AC$38="Moderado"),CONCATENATE("R5C",'Mapa final'!$Q$38),"")</f>
        <v/>
      </c>
      <c r="AB40" s="38" t="str">
        <f>IF(AND('Mapa final'!$AA$33="Baja",'Mapa final'!$AC$33="Mayor"),CONCATENATE("R5C",'Mapa final'!$Q$33),"")</f>
        <v/>
      </c>
      <c r="AC40" s="39" t="str">
        <f>IF(AND('Mapa final'!$AA$34="Baja",'Mapa final'!$AC$34="Mayor"),CONCATENATE("R5C",'Mapa final'!$Q$34),"")</f>
        <v/>
      </c>
      <c r="AD40" s="44" t="str">
        <f>IF(AND('Mapa final'!$AA$35="Baja",'Mapa final'!$AC$35="Mayor"),CONCATENATE("R5C",'Mapa final'!$Q$35),"")</f>
        <v/>
      </c>
      <c r="AE40" s="44" t="str">
        <f>IF(AND('Mapa final'!$AA$36="Baja",'Mapa final'!$AC$36="Mayor"),CONCATENATE("R5C",'Mapa final'!$Q$36),"")</f>
        <v/>
      </c>
      <c r="AF40" s="44" t="str">
        <f>IF(AND('Mapa final'!$AA$37="Baja",'Mapa final'!$AC$37="Mayor"),CONCATENATE("R5C",'Mapa final'!$Q$37),"")</f>
        <v/>
      </c>
      <c r="AG40" s="40" t="str">
        <f>IF(AND('Mapa final'!$AA$38="Baja",'Mapa final'!$AC$38="Mayor"),CONCATENATE("R5C",'Mapa final'!$Q$38),"")</f>
        <v/>
      </c>
      <c r="AH40" s="41" t="str">
        <f>IF(AND('Mapa final'!$AA$33="Baja",'Mapa final'!$AC$33="Catastrófico"),CONCATENATE("R5C",'Mapa final'!$Q$33),"")</f>
        <v/>
      </c>
      <c r="AI40" s="42" t="str">
        <f>IF(AND('Mapa final'!$AA$34="Baja",'Mapa final'!$AC$34="Catastrófico"),CONCATENATE("R5C",'Mapa final'!$Q$34),"")</f>
        <v/>
      </c>
      <c r="AJ40" s="42" t="str">
        <f>IF(AND('Mapa final'!$AA$35="Baja",'Mapa final'!$AC$35="Catastrófico"),CONCATENATE("R5C",'Mapa final'!$Q$35),"")</f>
        <v/>
      </c>
      <c r="AK40" s="42" t="str">
        <f>IF(AND('Mapa final'!$AA$36="Baja",'Mapa final'!$AC$36="Catastrófico"),CONCATENATE("R5C",'Mapa final'!$Q$36),"")</f>
        <v/>
      </c>
      <c r="AL40" s="42" t="str">
        <f>IF(AND('Mapa final'!$AA$37="Baja",'Mapa final'!$AC$37="Catastrófico"),CONCATENATE("R5C",'Mapa final'!$Q$37),"")</f>
        <v/>
      </c>
      <c r="AM40" s="43" t="str">
        <f>IF(AND('Mapa final'!$AA$38="Baja",'Mapa final'!$AC$38="Catastrófico"),CONCATENATE("R5C",'Mapa final'!$Q$38),"")</f>
        <v/>
      </c>
      <c r="AN40" s="70"/>
      <c r="AO40" s="361"/>
      <c r="AP40" s="362"/>
      <c r="AQ40" s="362"/>
      <c r="AR40" s="362"/>
      <c r="AS40" s="362"/>
      <c r="AT40" s="363"/>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39"/>
      <c r="C41" s="239"/>
      <c r="D41" s="240"/>
      <c r="E41" s="340"/>
      <c r="F41" s="341"/>
      <c r="G41" s="341"/>
      <c r="H41" s="341"/>
      <c r="I41" s="339"/>
      <c r="J41" s="63" t="str">
        <f>IF(AND('Mapa final'!$AA$39="Baja",'Mapa final'!$AC$39="Leve"),CONCATENATE("R6C",'Mapa final'!$Q$39),"")</f>
        <v/>
      </c>
      <c r="K41" s="64" t="str">
        <f>IF(AND('Mapa final'!$AA$40="Baja",'Mapa final'!$AC$40="Leve"),CONCATENATE("R6C",'Mapa final'!$Q$40),"")</f>
        <v/>
      </c>
      <c r="L41" s="64" t="str">
        <f>IF(AND('Mapa final'!$AA$41="Baja",'Mapa final'!$AC$41="Leve"),CONCATENATE("R6C",'Mapa final'!$Q$41),"")</f>
        <v/>
      </c>
      <c r="M41" s="64" t="str">
        <f>IF(AND('Mapa final'!$AA$42="Baja",'Mapa final'!$AC$42="Leve"),CONCATENATE("R6C",'Mapa final'!$Q$42),"")</f>
        <v/>
      </c>
      <c r="N41" s="64" t="str">
        <f>IF(AND('Mapa final'!$AA$43="Baja",'Mapa final'!$AC$43="Leve"),CONCATENATE("R6C",'Mapa final'!$Q$43),"")</f>
        <v/>
      </c>
      <c r="O41" s="65" t="str">
        <f>IF(AND('Mapa final'!$AA$44="Baja",'Mapa final'!$AC$44="Leve"),CONCATENATE("R6C",'Mapa final'!$Q$44),"")</f>
        <v/>
      </c>
      <c r="P41" s="54" t="str">
        <f>IF(AND('Mapa final'!$AA$39="Baja",'Mapa final'!$AC$39="Menor"),CONCATENATE("R6C",'Mapa final'!$Q$39),"")</f>
        <v/>
      </c>
      <c r="Q41" s="55" t="str">
        <f>IF(AND('Mapa final'!$AA$40="Baja",'Mapa final'!$AC$40="Menor"),CONCATENATE("R6C",'Mapa final'!$Q$40),"")</f>
        <v/>
      </c>
      <c r="R41" s="55" t="str">
        <f>IF(AND('Mapa final'!$AA$41="Baja",'Mapa final'!$AC$41="Menor"),CONCATENATE("R6C",'Mapa final'!$Q$41),"")</f>
        <v/>
      </c>
      <c r="S41" s="55" t="str">
        <f>IF(AND('Mapa final'!$AA$42="Baja",'Mapa final'!$AC$42="Menor"),CONCATENATE("R6C",'Mapa final'!$Q$42),"")</f>
        <v/>
      </c>
      <c r="T41" s="55" t="str">
        <f>IF(AND('Mapa final'!$AA$43="Baja",'Mapa final'!$AC$43="Menor"),CONCATENATE("R6C",'Mapa final'!$Q$43),"")</f>
        <v/>
      </c>
      <c r="U41" s="56" t="str">
        <f>IF(AND('Mapa final'!$AA$44="Baja",'Mapa final'!$AC$44="Menor"),CONCATENATE("R6C",'Mapa final'!$Q$44),"")</f>
        <v/>
      </c>
      <c r="V41" s="54" t="str">
        <f>IF(AND('Mapa final'!$AA$39="Baja",'Mapa final'!$AC$39="Moderado"),CONCATENATE("R6C",'Mapa final'!$Q$39),"")</f>
        <v/>
      </c>
      <c r="W41" s="55" t="str">
        <f>IF(AND('Mapa final'!$AA$40="Baja",'Mapa final'!$AC$40="Moderado"),CONCATENATE("R6C",'Mapa final'!$Q$40),"")</f>
        <v/>
      </c>
      <c r="X41" s="55" t="str">
        <f>IF(AND('Mapa final'!$AA$41="Baja",'Mapa final'!$AC$41="Moderado"),CONCATENATE("R6C",'Mapa final'!$Q$41),"")</f>
        <v/>
      </c>
      <c r="Y41" s="55" t="str">
        <f>IF(AND('Mapa final'!$AA$42="Baja",'Mapa final'!$AC$42="Moderado"),CONCATENATE("R6C",'Mapa final'!$Q$42),"")</f>
        <v/>
      </c>
      <c r="Z41" s="55" t="str">
        <f>IF(AND('Mapa final'!$AA$43="Baja",'Mapa final'!$AC$43="Moderado"),CONCATENATE("R6C",'Mapa final'!$Q$43),"")</f>
        <v/>
      </c>
      <c r="AA41" s="56" t="str">
        <f>IF(AND('Mapa final'!$AA$44="Baja",'Mapa final'!$AC$44="Moderado"),CONCATENATE("R6C",'Mapa final'!$Q$44),"")</f>
        <v/>
      </c>
      <c r="AB41" s="38" t="str">
        <f>IF(AND('Mapa final'!$AA$39="Baja",'Mapa final'!$AC$39="Mayor"),CONCATENATE("R6C",'Mapa final'!$Q$39),"")</f>
        <v/>
      </c>
      <c r="AC41" s="39" t="str">
        <f>IF(AND('Mapa final'!$AA$40="Baja",'Mapa final'!$AC$40="Mayor"),CONCATENATE("R6C",'Mapa final'!$Q$40),"")</f>
        <v/>
      </c>
      <c r="AD41" s="44" t="str">
        <f>IF(AND('Mapa final'!$AA$41="Baja",'Mapa final'!$AC$41="Mayor"),CONCATENATE("R6C",'Mapa final'!$Q$41),"")</f>
        <v/>
      </c>
      <c r="AE41" s="44" t="str">
        <f>IF(AND('Mapa final'!$AA$42="Baja",'Mapa final'!$AC$42="Mayor"),CONCATENATE("R6C",'Mapa final'!$Q$42),"")</f>
        <v/>
      </c>
      <c r="AF41" s="44" t="str">
        <f>IF(AND('Mapa final'!$AA$43="Baja",'Mapa final'!$AC$43="Mayor"),CONCATENATE("R6C",'Mapa final'!$Q$43),"")</f>
        <v/>
      </c>
      <c r="AG41" s="40" t="str">
        <f>IF(AND('Mapa final'!$AA$44="Baja",'Mapa final'!$AC$44="Mayor"),CONCATENATE("R6C",'Mapa final'!$Q$44),"")</f>
        <v/>
      </c>
      <c r="AH41" s="41" t="str">
        <f>IF(AND('Mapa final'!$AA$39="Baja",'Mapa final'!$AC$39="Catastrófico"),CONCATENATE("R6C",'Mapa final'!$Q$39),"")</f>
        <v/>
      </c>
      <c r="AI41" s="42" t="str">
        <f>IF(AND('Mapa final'!$AA$40="Baja",'Mapa final'!$AC$40="Catastrófico"),CONCATENATE("R6C",'Mapa final'!$Q$40),"")</f>
        <v/>
      </c>
      <c r="AJ41" s="42" t="str">
        <f>IF(AND('Mapa final'!$AA$41="Baja",'Mapa final'!$AC$41="Catastrófico"),CONCATENATE("R6C",'Mapa final'!$Q$41),"")</f>
        <v/>
      </c>
      <c r="AK41" s="42" t="str">
        <f>IF(AND('Mapa final'!$AA$42="Baja",'Mapa final'!$AC$42="Catastrófico"),CONCATENATE("R6C",'Mapa final'!$Q$42),"")</f>
        <v/>
      </c>
      <c r="AL41" s="42" t="str">
        <f>IF(AND('Mapa final'!$AA$43="Baja",'Mapa final'!$AC$43="Catastrófico"),CONCATENATE("R6C",'Mapa final'!$Q$43),"")</f>
        <v/>
      </c>
      <c r="AM41" s="43" t="str">
        <f>IF(AND('Mapa final'!$AA$44="Baja",'Mapa final'!$AC$44="Catastrófico"),CONCATENATE("R6C",'Mapa final'!$Q$44),"")</f>
        <v/>
      </c>
      <c r="AN41" s="70"/>
      <c r="AO41" s="361"/>
      <c r="AP41" s="362"/>
      <c r="AQ41" s="362"/>
      <c r="AR41" s="362"/>
      <c r="AS41" s="362"/>
      <c r="AT41" s="363"/>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39"/>
      <c r="C42" s="239"/>
      <c r="D42" s="240"/>
      <c r="E42" s="340"/>
      <c r="F42" s="341"/>
      <c r="G42" s="341"/>
      <c r="H42" s="341"/>
      <c r="I42" s="339"/>
      <c r="J42" s="63" t="str">
        <f>IF(AND('Mapa final'!$AA$45="Baja",'Mapa final'!$AC$45="Leve"),CONCATENATE("R7C",'Mapa final'!$Q$45),"")</f>
        <v/>
      </c>
      <c r="K42" s="64" t="str">
        <f>IF(AND('Mapa final'!$AA$46="Baja",'Mapa final'!$AC$46="Leve"),CONCATENATE("R7C",'Mapa final'!$Q$46),"")</f>
        <v/>
      </c>
      <c r="L42" s="64" t="str">
        <f>IF(AND('Mapa final'!$AA$47="Baja",'Mapa final'!$AC$47="Leve"),CONCATENATE("R7C",'Mapa final'!$Q$47),"")</f>
        <v/>
      </c>
      <c r="M42" s="64" t="str">
        <f>IF(AND('Mapa final'!$AA$48="Baja",'Mapa final'!$AC$48="Leve"),CONCATENATE("R7C",'Mapa final'!$Q$48),"")</f>
        <v/>
      </c>
      <c r="N42" s="64" t="str">
        <f>IF(AND('Mapa final'!$AA$49="Baja",'Mapa final'!$AC$49="Leve"),CONCATENATE("R7C",'Mapa final'!$Q$49),"")</f>
        <v/>
      </c>
      <c r="O42" s="65" t="str">
        <f>IF(AND('Mapa final'!$AA$50="Baja",'Mapa final'!$AC$50="Leve"),CONCATENATE("R7C",'Mapa final'!$Q$50),"")</f>
        <v/>
      </c>
      <c r="P42" s="54" t="str">
        <f>IF(AND('Mapa final'!$AA$45="Baja",'Mapa final'!$AC$45="Menor"),CONCATENATE("R7C",'Mapa final'!$Q$45),"")</f>
        <v/>
      </c>
      <c r="Q42" s="55" t="str">
        <f>IF(AND('Mapa final'!$AA$46="Baja",'Mapa final'!$AC$46="Menor"),CONCATENATE("R7C",'Mapa final'!$Q$46),"")</f>
        <v/>
      </c>
      <c r="R42" s="55" t="str">
        <f>IF(AND('Mapa final'!$AA$47="Baja",'Mapa final'!$AC$47="Menor"),CONCATENATE("R7C",'Mapa final'!$Q$47),"")</f>
        <v/>
      </c>
      <c r="S42" s="55" t="str">
        <f>IF(AND('Mapa final'!$AA$48="Baja",'Mapa final'!$AC$48="Menor"),CONCATENATE("R7C",'Mapa final'!$Q$48),"")</f>
        <v/>
      </c>
      <c r="T42" s="55" t="str">
        <f>IF(AND('Mapa final'!$AA$49="Baja",'Mapa final'!$AC$49="Menor"),CONCATENATE("R7C",'Mapa final'!$Q$49),"")</f>
        <v/>
      </c>
      <c r="U42" s="56" t="str">
        <f>IF(AND('Mapa final'!$AA$50="Baja",'Mapa final'!$AC$50="Menor"),CONCATENATE("R7C",'Mapa final'!$Q$50),"")</f>
        <v/>
      </c>
      <c r="V42" s="54" t="str">
        <f>IF(AND('Mapa final'!$AA$45="Baja",'Mapa final'!$AC$45="Moderado"),CONCATENATE("R7C",'Mapa final'!$Q$45),"")</f>
        <v/>
      </c>
      <c r="W42" s="55" t="str">
        <f>IF(AND('Mapa final'!$AA$46="Baja",'Mapa final'!$AC$46="Moderado"),CONCATENATE("R7C",'Mapa final'!$Q$46),"")</f>
        <v/>
      </c>
      <c r="X42" s="55" t="str">
        <f>IF(AND('Mapa final'!$AA$47="Baja",'Mapa final'!$AC$47="Moderado"),CONCATENATE("R7C",'Mapa final'!$Q$47),"")</f>
        <v/>
      </c>
      <c r="Y42" s="55" t="str">
        <f>IF(AND('Mapa final'!$AA$48="Baja",'Mapa final'!$AC$48="Moderado"),CONCATENATE("R7C",'Mapa final'!$Q$48),"")</f>
        <v/>
      </c>
      <c r="Z42" s="55" t="str">
        <f>IF(AND('Mapa final'!$AA$49="Baja",'Mapa final'!$AC$49="Moderado"),CONCATENATE("R7C",'Mapa final'!$Q$49),"")</f>
        <v/>
      </c>
      <c r="AA42" s="56" t="str">
        <f>IF(AND('Mapa final'!$AA$50="Baja",'Mapa final'!$AC$50="Moderado"),CONCATENATE("R7C",'Mapa final'!$Q$50),"")</f>
        <v/>
      </c>
      <c r="AB42" s="38" t="str">
        <f>IF(AND('Mapa final'!$AA$45="Baja",'Mapa final'!$AC$45="Mayor"),CONCATENATE("R7C",'Mapa final'!$Q$45),"")</f>
        <v/>
      </c>
      <c r="AC42" s="39" t="str">
        <f>IF(AND('Mapa final'!$AA$46="Baja",'Mapa final'!$AC$46="Mayor"),CONCATENATE("R7C",'Mapa final'!$Q$46),"")</f>
        <v/>
      </c>
      <c r="AD42" s="44" t="str">
        <f>IF(AND('Mapa final'!$AA$47="Baja",'Mapa final'!$AC$47="Mayor"),CONCATENATE("R7C",'Mapa final'!$Q$47),"")</f>
        <v/>
      </c>
      <c r="AE42" s="44" t="str">
        <f>IF(AND('Mapa final'!$AA$48="Baja",'Mapa final'!$AC$48="Mayor"),CONCATENATE("R7C",'Mapa final'!$Q$48),"")</f>
        <v/>
      </c>
      <c r="AF42" s="44" t="str">
        <f>IF(AND('Mapa final'!$AA$49="Baja",'Mapa final'!$AC$49="Mayor"),CONCATENATE("R7C",'Mapa final'!$Q$49),"")</f>
        <v/>
      </c>
      <c r="AG42" s="40" t="str">
        <f>IF(AND('Mapa final'!$AA$50="Baja",'Mapa final'!$AC$50="Mayor"),CONCATENATE("R7C",'Mapa final'!$Q$50),"")</f>
        <v/>
      </c>
      <c r="AH42" s="41" t="str">
        <f>IF(AND('Mapa final'!$AA$45="Baja",'Mapa final'!$AC$45="Catastrófico"),CONCATENATE("R7C",'Mapa final'!$Q$45),"")</f>
        <v/>
      </c>
      <c r="AI42" s="42" t="str">
        <f>IF(AND('Mapa final'!$AA$46="Baja",'Mapa final'!$AC$46="Catastrófico"),CONCATENATE("R7C",'Mapa final'!$Q$46),"")</f>
        <v/>
      </c>
      <c r="AJ42" s="42" t="str">
        <f>IF(AND('Mapa final'!$AA$47="Baja",'Mapa final'!$AC$47="Catastrófico"),CONCATENATE("R7C",'Mapa final'!$Q$47),"")</f>
        <v/>
      </c>
      <c r="AK42" s="42" t="str">
        <f>IF(AND('Mapa final'!$AA$48="Baja",'Mapa final'!$AC$48="Catastrófico"),CONCATENATE("R7C",'Mapa final'!$Q$48),"")</f>
        <v/>
      </c>
      <c r="AL42" s="42" t="str">
        <f>IF(AND('Mapa final'!$AA$49="Baja",'Mapa final'!$AC$49="Catastrófico"),CONCATENATE("R7C",'Mapa final'!$Q$49),"")</f>
        <v/>
      </c>
      <c r="AM42" s="43" t="str">
        <f>IF(AND('Mapa final'!$AA$50="Baja",'Mapa final'!$AC$50="Catastrófico"),CONCATENATE("R7C",'Mapa final'!$Q$50),"")</f>
        <v/>
      </c>
      <c r="AN42" s="70"/>
      <c r="AO42" s="361"/>
      <c r="AP42" s="362"/>
      <c r="AQ42" s="362"/>
      <c r="AR42" s="362"/>
      <c r="AS42" s="362"/>
      <c r="AT42" s="363"/>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39"/>
      <c r="C43" s="239"/>
      <c r="D43" s="240"/>
      <c r="E43" s="340"/>
      <c r="F43" s="341"/>
      <c r="G43" s="341"/>
      <c r="H43" s="341"/>
      <c r="I43" s="339"/>
      <c r="J43" s="63" t="str">
        <f>IF(AND('Mapa final'!$AA$51="Baja",'Mapa final'!$AC$51="Leve"),CONCATENATE("R8C",'Mapa final'!$Q$51),"")</f>
        <v/>
      </c>
      <c r="K43" s="64" t="str">
        <f>IF(AND('Mapa final'!$AA$52="Baja",'Mapa final'!$AC$52="Leve"),CONCATENATE("R8C",'Mapa final'!$Q$52),"")</f>
        <v/>
      </c>
      <c r="L43" s="64" t="str">
        <f>IF(AND('Mapa final'!$AA$53="Baja",'Mapa final'!$AC$53="Leve"),CONCATENATE("R8C",'Mapa final'!$Q$53),"")</f>
        <v/>
      </c>
      <c r="M43" s="64" t="str">
        <f>IF(AND('Mapa final'!$AA$54="Baja",'Mapa final'!$AC$54="Leve"),CONCATENATE("R8C",'Mapa final'!$Q$54),"")</f>
        <v/>
      </c>
      <c r="N43" s="64" t="str">
        <f>IF(AND('Mapa final'!$AA$55="Baja",'Mapa final'!$AC$55="Leve"),CONCATENATE("R8C",'Mapa final'!$Q$55),"")</f>
        <v/>
      </c>
      <c r="O43" s="65" t="str">
        <f>IF(AND('Mapa final'!$AA$56="Baja",'Mapa final'!$AC$56="Leve"),CONCATENATE("R8C",'Mapa final'!$Q$56),"")</f>
        <v/>
      </c>
      <c r="P43" s="54" t="str">
        <f>IF(AND('Mapa final'!$AA$51="Baja",'Mapa final'!$AC$51="Menor"),CONCATENATE("R8C",'Mapa final'!$Q$51),"")</f>
        <v/>
      </c>
      <c r="Q43" s="55" t="str">
        <f>IF(AND('Mapa final'!$AA$52="Baja",'Mapa final'!$AC$52="Menor"),CONCATENATE("R8C",'Mapa final'!$Q$52),"")</f>
        <v/>
      </c>
      <c r="R43" s="55" t="str">
        <f>IF(AND('Mapa final'!$AA$53="Baja",'Mapa final'!$AC$53="Menor"),CONCATENATE("R8C",'Mapa final'!$Q$53),"")</f>
        <v/>
      </c>
      <c r="S43" s="55" t="str">
        <f>IF(AND('Mapa final'!$AA$54="Baja",'Mapa final'!$AC$54="Menor"),CONCATENATE("R8C",'Mapa final'!$Q$54),"")</f>
        <v/>
      </c>
      <c r="T43" s="55" t="str">
        <f>IF(AND('Mapa final'!$AA$55="Baja",'Mapa final'!$AC$55="Menor"),CONCATENATE("R8C",'Mapa final'!$Q$55),"")</f>
        <v/>
      </c>
      <c r="U43" s="56" t="str">
        <f>IF(AND('Mapa final'!$AA$56="Baja",'Mapa final'!$AC$56="Menor"),CONCATENATE("R8C",'Mapa final'!$Q$56),"")</f>
        <v/>
      </c>
      <c r="V43" s="54" t="str">
        <f>IF(AND('Mapa final'!$AA$51="Baja",'Mapa final'!$AC$51="Moderado"),CONCATENATE("R8C",'Mapa final'!$Q$51),"")</f>
        <v/>
      </c>
      <c r="W43" s="55" t="str">
        <f>IF(AND('Mapa final'!$AA$52="Baja",'Mapa final'!$AC$52="Moderado"),CONCATENATE("R8C",'Mapa final'!$Q$52),"")</f>
        <v/>
      </c>
      <c r="X43" s="55" t="str">
        <f>IF(AND('Mapa final'!$AA$53="Baja",'Mapa final'!$AC$53="Moderado"),CONCATENATE("R8C",'Mapa final'!$Q$53),"")</f>
        <v/>
      </c>
      <c r="Y43" s="55" t="str">
        <f>IF(AND('Mapa final'!$AA$54="Baja",'Mapa final'!$AC$54="Moderado"),CONCATENATE("R8C",'Mapa final'!$Q$54),"")</f>
        <v/>
      </c>
      <c r="Z43" s="55" t="str">
        <f>IF(AND('Mapa final'!$AA$55="Baja",'Mapa final'!$AC$55="Moderado"),CONCATENATE("R8C",'Mapa final'!$Q$55),"")</f>
        <v/>
      </c>
      <c r="AA43" s="56" t="str">
        <f>IF(AND('Mapa final'!$AA$56="Baja",'Mapa final'!$AC$56="Moderado"),CONCATENATE("R8C",'Mapa final'!$Q$56),"")</f>
        <v/>
      </c>
      <c r="AB43" s="38" t="str">
        <f>IF(AND('Mapa final'!$AA$51="Baja",'Mapa final'!$AC$51="Mayor"),CONCATENATE("R8C",'Mapa final'!$Q$51),"")</f>
        <v/>
      </c>
      <c r="AC43" s="39" t="str">
        <f>IF(AND('Mapa final'!$AA$52="Baja",'Mapa final'!$AC$52="Mayor"),CONCATENATE("R8C",'Mapa final'!$Q$52),"")</f>
        <v/>
      </c>
      <c r="AD43" s="44" t="str">
        <f>IF(AND('Mapa final'!$AA$53="Baja",'Mapa final'!$AC$53="Mayor"),CONCATENATE("R8C",'Mapa final'!$Q$53),"")</f>
        <v/>
      </c>
      <c r="AE43" s="44" t="str">
        <f>IF(AND('Mapa final'!$AA$54="Baja",'Mapa final'!$AC$54="Mayor"),CONCATENATE("R8C",'Mapa final'!$Q$54),"")</f>
        <v/>
      </c>
      <c r="AF43" s="44" t="str">
        <f>IF(AND('Mapa final'!$AA$55="Baja",'Mapa final'!$AC$55="Mayor"),CONCATENATE("R8C",'Mapa final'!$Q$55),"")</f>
        <v/>
      </c>
      <c r="AG43" s="40" t="str">
        <f>IF(AND('Mapa final'!$AA$56="Baja",'Mapa final'!$AC$56="Mayor"),CONCATENATE("R8C",'Mapa final'!$Q$56),"")</f>
        <v/>
      </c>
      <c r="AH43" s="41" t="str">
        <f>IF(AND('Mapa final'!$AA$51="Baja",'Mapa final'!$AC$51="Catastrófico"),CONCATENATE("R8C",'Mapa final'!$Q$51),"")</f>
        <v/>
      </c>
      <c r="AI43" s="42" t="str">
        <f>IF(AND('Mapa final'!$AA$52="Baja",'Mapa final'!$AC$52="Catastrófico"),CONCATENATE("R8C",'Mapa final'!$Q$52),"")</f>
        <v/>
      </c>
      <c r="AJ43" s="42" t="str">
        <f>IF(AND('Mapa final'!$AA$53="Baja",'Mapa final'!$AC$53="Catastrófico"),CONCATENATE("R8C",'Mapa final'!$Q$53),"")</f>
        <v/>
      </c>
      <c r="AK43" s="42" t="str">
        <f>IF(AND('Mapa final'!$AA$54="Baja",'Mapa final'!$AC$54="Catastrófico"),CONCATENATE("R8C",'Mapa final'!$Q$54),"")</f>
        <v/>
      </c>
      <c r="AL43" s="42" t="str">
        <f>IF(AND('Mapa final'!$AA$55="Baja",'Mapa final'!$AC$55="Catastrófico"),CONCATENATE("R8C",'Mapa final'!$Q$55),"")</f>
        <v/>
      </c>
      <c r="AM43" s="43" t="str">
        <f>IF(AND('Mapa final'!$AA$56="Baja",'Mapa final'!$AC$56="Catastrófico"),CONCATENATE("R8C",'Mapa final'!$Q$56),"")</f>
        <v/>
      </c>
      <c r="AN43" s="70"/>
      <c r="AO43" s="361"/>
      <c r="AP43" s="362"/>
      <c r="AQ43" s="362"/>
      <c r="AR43" s="362"/>
      <c r="AS43" s="362"/>
      <c r="AT43" s="363"/>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39"/>
      <c r="C44" s="239"/>
      <c r="D44" s="240"/>
      <c r="E44" s="340"/>
      <c r="F44" s="341"/>
      <c r="G44" s="341"/>
      <c r="H44" s="341"/>
      <c r="I44" s="339"/>
      <c r="J44" s="63" t="str">
        <f>IF(AND('Mapa final'!$AA$57="Baja",'Mapa final'!$AC$57="Leve"),CONCATENATE("R9C",'Mapa final'!$Q$57),"")</f>
        <v/>
      </c>
      <c r="K44" s="64" t="str">
        <f>IF(AND('Mapa final'!$AA$58="Baja",'Mapa final'!$AC$58="Leve"),CONCATENATE("R9C",'Mapa final'!$Q$58),"")</f>
        <v/>
      </c>
      <c r="L44" s="64" t="str">
        <f>IF(AND('Mapa final'!$AA$59="Baja",'Mapa final'!$AC$59="Leve"),CONCATENATE("R9C",'Mapa final'!$Q$59),"")</f>
        <v/>
      </c>
      <c r="M44" s="64" t="str">
        <f>IF(AND('Mapa final'!$AA$60="Baja",'Mapa final'!$AC$60="Leve"),CONCATENATE("R9C",'Mapa final'!$Q$60),"")</f>
        <v/>
      </c>
      <c r="N44" s="64" t="str">
        <f>IF(AND('Mapa final'!$AA$61="Baja",'Mapa final'!$AC$61="Leve"),CONCATENATE("R9C",'Mapa final'!$Q$61),"")</f>
        <v/>
      </c>
      <c r="O44" s="65" t="str">
        <f>IF(AND('Mapa final'!$AA$62="Baja",'Mapa final'!$AC$62="Leve"),CONCATENATE("R9C",'Mapa final'!$Q$62),"")</f>
        <v/>
      </c>
      <c r="P44" s="54" t="str">
        <f>IF(AND('Mapa final'!$AA$57="Baja",'Mapa final'!$AC$57="Menor"),CONCATENATE("R9C",'Mapa final'!$Q$57),"")</f>
        <v/>
      </c>
      <c r="Q44" s="55" t="str">
        <f>IF(AND('Mapa final'!$AA$58="Baja",'Mapa final'!$AC$58="Menor"),CONCATENATE("R9C",'Mapa final'!$Q$58),"")</f>
        <v/>
      </c>
      <c r="R44" s="55" t="str">
        <f>IF(AND('Mapa final'!$AA$59="Baja",'Mapa final'!$AC$59="Menor"),CONCATENATE("R9C",'Mapa final'!$Q$59),"")</f>
        <v/>
      </c>
      <c r="S44" s="55" t="str">
        <f>IF(AND('Mapa final'!$AA$60="Baja",'Mapa final'!$AC$60="Menor"),CONCATENATE("R9C",'Mapa final'!$Q$60),"")</f>
        <v/>
      </c>
      <c r="T44" s="55" t="str">
        <f>IF(AND('Mapa final'!$AA$61="Baja",'Mapa final'!$AC$61="Menor"),CONCATENATE("R9C",'Mapa final'!$Q$61),"")</f>
        <v/>
      </c>
      <c r="U44" s="56" t="str">
        <f>IF(AND('Mapa final'!$AA$62="Baja",'Mapa final'!$AC$62="Menor"),CONCATENATE("R9C",'Mapa final'!$Q$62),"")</f>
        <v/>
      </c>
      <c r="V44" s="54" t="str">
        <f>IF(AND('Mapa final'!$AA$57="Baja",'Mapa final'!$AC$57="Moderado"),CONCATENATE("R9C",'Mapa final'!$Q$57),"")</f>
        <v/>
      </c>
      <c r="W44" s="55" t="str">
        <f>IF(AND('Mapa final'!$AA$58="Baja",'Mapa final'!$AC$58="Moderado"),CONCATENATE("R9C",'Mapa final'!$Q$58),"")</f>
        <v/>
      </c>
      <c r="X44" s="55" t="str">
        <f>IF(AND('Mapa final'!$AA$59="Baja",'Mapa final'!$AC$59="Moderado"),CONCATENATE("R9C",'Mapa final'!$Q$59),"")</f>
        <v/>
      </c>
      <c r="Y44" s="55" t="str">
        <f>IF(AND('Mapa final'!$AA$60="Baja",'Mapa final'!$AC$60="Moderado"),CONCATENATE("R9C",'Mapa final'!$Q$60),"")</f>
        <v/>
      </c>
      <c r="Z44" s="55" t="str">
        <f>IF(AND('Mapa final'!$AA$61="Baja",'Mapa final'!$AC$61="Moderado"),CONCATENATE("R9C",'Mapa final'!$Q$61),"")</f>
        <v/>
      </c>
      <c r="AA44" s="56" t="str">
        <f>IF(AND('Mapa final'!$AA$62="Baja",'Mapa final'!$AC$62="Moderado"),CONCATENATE("R9C",'Mapa final'!$Q$62),"")</f>
        <v/>
      </c>
      <c r="AB44" s="38" t="str">
        <f>IF(AND('Mapa final'!$AA$57="Baja",'Mapa final'!$AC$57="Mayor"),CONCATENATE("R9C",'Mapa final'!$Q$57),"")</f>
        <v/>
      </c>
      <c r="AC44" s="39" t="str">
        <f>IF(AND('Mapa final'!$AA$58="Baja",'Mapa final'!$AC$58="Mayor"),CONCATENATE("R9C",'Mapa final'!$Q$58),"")</f>
        <v/>
      </c>
      <c r="AD44" s="44" t="str">
        <f>IF(AND('Mapa final'!$AA$59="Baja",'Mapa final'!$AC$59="Mayor"),CONCATENATE("R9C",'Mapa final'!$Q$59),"")</f>
        <v/>
      </c>
      <c r="AE44" s="44" t="str">
        <f>IF(AND('Mapa final'!$AA$60="Baja",'Mapa final'!$AC$60="Mayor"),CONCATENATE("R9C",'Mapa final'!$Q$60),"")</f>
        <v/>
      </c>
      <c r="AF44" s="44" t="str">
        <f>IF(AND('Mapa final'!$AA$61="Baja",'Mapa final'!$AC$61="Mayor"),CONCATENATE("R9C",'Mapa final'!$Q$61),"")</f>
        <v/>
      </c>
      <c r="AG44" s="40" t="str">
        <f>IF(AND('Mapa final'!$AA$62="Baja",'Mapa final'!$AC$62="Mayor"),CONCATENATE("R9C",'Mapa final'!$Q$62),"")</f>
        <v/>
      </c>
      <c r="AH44" s="41" t="str">
        <f>IF(AND('Mapa final'!$AA$57="Baja",'Mapa final'!$AC$57="Catastrófico"),CONCATENATE("R9C",'Mapa final'!$Q$57),"")</f>
        <v/>
      </c>
      <c r="AI44" s="42" t="str">
        <f>IF(AND('Mapa final'!$AA$58="Baja",'Mapa final'!$AC$58="Catastrófico"),CONCATENATE("R9C",'Mapa final'!$Q$58),"")</f>
        <v/>
      </c>
      <c r="AJ44" s="42" t="str">
        <f>IF(AND('Mapa final'!$AA$59="Baja",'Mapa final'!$AC$59="Catastrófico"),CONCATENATE("R9C",'Mapa final'!$Q$59),"")</f>
        <v/>
      </c>
      <c r="AK44" s="42" t="str">
        <f>IF(AND('Mapa final'!$AA$60="Baja",'Mapa final'!$AC$60="Catastrófico"),CONCATENATE("R9C",'Mapa final'!$Q$60),"")</f>
        <v/>
      </c>
      <c r="AL44" s="42" t="str">
        <f>IF(AND('Mapa final'!$AA$61="Baja",'Mapa final'!$AC$61="Catastrófico"),CONCATENATE("R9C",'Mapa final'!$Q$61),"")</f>
        <v/>
      </c>
      <c r="AM44" s="43" t="str">
        <f>IF(AND('Mapa final'!$AA$62="Baja",'Mapa final'!$AC$62="Catastrófico"),CONCATENATE("R9C",'Mapa final'!$Q$62),"")</f>
        <v/>
      </c>
      <c r="AN44" s="70"/>
      <c r="AO44" s="361"/>
      <c r="AP44" s="362"/>
      <c r="AQ44" s="362"/>
      <c r="AR44" s="362"/>
      <c r="AS44" s="362"/>
      <c r="AT44" s="363"/>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39"/>
      <c r="C45" s="239"/>
      <c r="D45" s="240"/>
      <c r="E45" s="342"/>
      <c r="F45" s="343"/>
      <c r="G45" s="343"/>
      <c r="H45" s="343"/>
      <c r="I45" s="343"/>
      <c r="J45" s="66" t="str">
        <f>IF(AND('Mapa final'!$AA$63="Baja",'Mapa final'!$AC$63="Leve"),CONCATENATE("R10C",'Mapa final'!$Q$63),"")</f>
        <v/>
      </c>
      <c r="K45" s="67" t="str">
        <f>IF(AND('Mapa final'!$AA$64="Baja",'Mapa final'!$AC$64="Leve"),CONCATENATE("R10C",'Mapa final'!$Q$64),"")</f>
        <v/>
      </c>
      <c r="L45" s="67" t="str">
        <f>IF(AND('Mapa final'!$AA$65="Baja",'Mapa final'!$AC$65="Leve"),CONCATENATE("R10C",'Mapa final'!$Q$65),"")</f>
        <v/>
      </c>
      <c r="M45" s="67" t="str">
        <f>IF(AND('Mapa final'!$AA$66="Baja",'Mapa final'!$AC$66="Leve"),CONCATENATE("R10C",'Mapa final'!$Q$66),"")</f>
        <v/>
      </c>
      <c r="N45" s="67" t="str">
        <f>IF(AND('Mapa final'!$AA$67="Baja",'Mapa final'!$AC$67="Leve"),CONCATENATE("R10C",'Mapa final'!$Q$67),"")</f>
        <v/>
      </c>
      <c r="O45" s="68" t="str">
        <f>IF(AND('Mapa final'!$AA$68="Baja",'Mapa final'!$AC$68="Leve"),CONCATENATE("R10C",'Mapa final'!$Q$68),"")</f>
        <v/>
      </c>
      <c r="P45" s="54" t="str">
        <f>IF(AND('Mapa final'!$AA$63="Baja",'Mapa final'!$AC$63="Menor"),CONCATENATE("R10C",'Mapa final'!$Q$63),"")</f>
        <v/>
      </c>
      <c r="Q45" s="55" t="str">
        <f>IF(AND('Mapa final'!$AA$64="Baja",'Mapa final'!$AC$64="Menor"),CONCATENATE("R10C",'Mapa final'!$Q$64),"")</f>
        <v/>
      </c>
      <c r="R45" s="55" t="str">
        <f>IF(AND('Mapa final'!$AA$65="Baja",'Mapa final'!$AC$65="Menor"),CONCATENATE("R10C",'Mapa final'!$Q$65),"")</f>
        <v/>
      </c>
      <c r="S45" s="55" t="str">
        <f>IF(AND('Mapa final'!$AA$66="Baja",'Mapa final'!$AC$66="Menor"),CONCATENATE("R10C",'Mapa final'!$Q$66),"")</f>
        <v/>
      </c>
      <c r="T45" s="55" t="str">
        <f>IF(AND('Mapa final'!$AA$67="Baja",'Mapa final'!$AC$67="Menor"),CONCATENATE("R10C",'Mapa final'!$Q$67),"")</f>
        <v/>
      </c>
      <c r="U45" s="56" t="str">
        <f>IF(AND('Mapa final'!$AA$68="Baja",'Mapa final'!$AC$68="Menor"),CONCATENATE("R10C",'Mapa final'!$Q$68),"")</f>
        <v/>
      </c>
      <c r="V45" s="57" t="str">
        <f>IF(AND('Mapa final'!$AA$63="Baja",'Mapa final'!$AC$63="Moderado"),CONCATENATE("R10C",'Mapa final'!$Q$63),"")</f>
        <v/>
      </c>
      <c r="W45" s="58" t="str">
        <f>IF(AND('Mapa final'!$AA$64="Baja",'Mapa final'!$AC$64="Moderado"),CONCATENATE("R10C",'Mapa final'!$Q$64),"")</f>
        <v/>
      </c>
      <c r="X45" s="58" t="str">
        <f>IF(AND('Mapa final'!$AA$65="Baja",'Mapa final'!$AC$65="Moderado"),CONCATENATE("R10C",'Mapa final'!$Q$65),"")</f>
        <v/>
      </c>
      <c r="Y45" s="58" t="str">
        <f>IF(AND('Mapa final'!$AA$66="Baja",'Mapa final'!$AC$66="Moderado"),CONCATENATE("R10C",'Mapa final'!$Q$66),"")</f>
        <v/>
      </c>
      <c r="Z45" s="58" t="str">
        <f>IF(AND('Mapa final'!$AA$67="Baja",'Mapa final'!$AC$67="Moderado"),CONCATENATE("R10C",'Mapa final'!$Q$67),"")</f>
        <v/>
      </c>
      <c r="AA45" s="59" t="str">
        <f>IF(AND('Mapa final'!$AA$68="Baja",'Mapa final'!$AC$68="Moderado"),CONCATENATE("R10C",'Mapa final'!$Q$68),"")</f>
        <v/>
      </c>
      <c r="AB45" s="45" t="str">
        <f>IF(AND('Mapa final'!$AA$63="Baja",'Mapa final'!$AC$63="Mayor"),CONCATENATE("R10C",'Mapa final'!$Q$63),"")</f>
        <v/>
      </c>
      <c r="AC45" s="46" t="str">
        <f>IF(AND('Mapa final'!$AA$64="Baja",'Mapa final'!$AC$64="Mayor"),CONCATENATE("R10C",'Mapa final'!$Q$64),"")</f>
        <v/>
      </c>
      <c r="AD45" s="46" t="str">
        <f>IF(AND('Mapa final'!$AA$65="Baja",'Mapa final'!$AC$65="Mayor"),CONCATENATE("R10C",'Mapa final'!$Q$65),"")</f>
        <v/>
      </c>
      <c r="AE45" s="46" t="str">
        <f>IF(AND('Mapa final'!$AA$66="Baja",'Mapa final'!$AC$66="Mayor"),CONCATENATE("R10C",'Mapa final'!$Q$66),"")</f>
        <v/>
      </c>
      <c r="AF45" s="46" t="str">
        <f>IF(AND('Mapa final'!$AA$67="Baja",'Mapa final'!$AC$67="Mayor"),CONCATENATE("R10C",'Mapa final'!$Q$67),"")</f>
        <v/>
      </c>
      <c r="AG45" s="47" t="str">
        <f>IF(AND('Mapa final'!$AA$68="Baja",'Mapa final'!$AC$68="Mayor"),CONCATENATE("R10C",'Mapa final'!$Q$68),"")</f>
        <v/>
      </c>
      <c r="AH45" s="48" t="str">
        <f>IF(AND('Mapa final'!$AA$63="Baja",'Mapa final'!$AC$63="Catastrófico"),CONCATENATE("R10C",'Mapa final'!$Q$63),"")</f>
        <v/>
      </c>
      <c r="AI45" s="49" t="str">
        <f>IF(AND('Mapa final'!$AA$64="Baja",'Mapa final'!$AC$64="Catastrófico"),CONCATENATE("R10C",'Mapa final'!$Q$64),"")</f>
        <v/>
      </c>
      <c r="AJ45" s="49" t="str">
        <f>IF(AND('Mapa final'!$AA$65="Baja",'Mapa final'!$AC$65="Catastrófico"),CONCATENATE("R10C",'Mapa final'!$Q$65),"")</f>
        <v/>
      </c>
      <c r="AK45" s="49" t="str">
        <f>IF(AND('Mapa final'!$AA$66="Baja",'Mapa final'!$AC$66="Catastrófico"),CONCATENATE("R10C",'Mapa final'!$Q$66),"")</f>
        <v/>
      </c>
      <c r="AL45" s="49" t="str">
        <f>IF(AND('Mapa final'!$AA$67="Baja",'Mapa final'!$AC$67="Catastrófico"),CONCATENATE("R10C",'Mapa final'!$Q$67),"")</f>
        <v/>
      </c>
      <c r="AM45" s="50" t="str">
        <f>IF(AND('Mapa final'!$AA$68="Baja",'Mapa final'!$AC$68="Catastrófico"),CONCATENATE("R10C",'Mapa final'!$Q$68),"")</f>
        <v/>
      </c>
      <c r="AN45" s="70"/>
      <c r="AO45" s="364"/>
      <c r="AP45" s="365"/>
      <c r="AQ45" s="365"/>
      <c r="AR45" s="365"/>
      <c r="AS45" s="365"/>
      <c r="AT45" s="366"/>
    </row>
    <row r="46" spans="1:80" ht="46.5" customHeight="1" x14ac:dyDescent="0.35">
      <c r="A46" s="70"/>
      <c r="B46" s="239"/>
      <c r="C46" s="239"/>
      <c r="D46" s="240"/>
      <c r="E46" s="336" t="s">
        <v>109</v>
      </c>
      <c r="F46" s="337"/>
      <c r="G46" s="337"/>
      <c r="H46" s="337"/>
      <c r="I46" s="355"/>
      <c r="J46" s="60" t="str">
        <f>IF(AND('Mapa final'!$AA$9="Muy Baja",'Mapa final'!$AC$9="Leve"),CONCATENATE("R1C",'Mapa final'!$Q$9),"")</f>
        <v/>
      </c>
      <c r="K46" s="61" t="str">
        <f>IF(AND('Mapa final'!$AA$10="Muy Baja",'Mapa final'!$AC$10="Leve"),CONCATENATE("R1C",'Mapa final'!$Q$10),"")</f>
        <v/>
      </c>
      <c r="L46" s="61" t="str">
        <f>IF(AND('Mapa final'!$AA$11="Muy Baja",'Mapa final'!$AC$11="Leve"),CONCATENATE("R1C",'Mapa final'!$Q$11),"")</f>
        <v/>
      </c>
      <c r="M46" s="61" t="str">
        <f>IF(AND('Mapa final'!$AA$12="Muy Baja",'Mapa final'!$AC$12="Leve"),CONCATENATE("R1C",'Mapa final'!$Q$12),"")</f>
        <v/>
      </c>
      <c r="N46" s="61" t="str">
        <f>IF(AND('Mapa final'!$AA$13="Muy Baja",'Mapa final'!$AC$13="Leve"),CONCATENATE("R1C",'Mapa final'!$Q$13),"")</f>
        <v/>
      </c>
      <c r="O46" s="62" t="str">
        <f>IF(AND('Mapa final'!$AA$14="Muy Baja",'Mapa final'!$AC$14="Leve"),CONCATENATE("R1C",'Mapa final'!$Q$14),"")</f>
        <v/>
      </c>
      <c r="P46" s="60" t="str">
        <f>IF(AND('Mapa final'!$AA$9="Muy Baja",'Mapa final'!$AC$9="Menor"),CONCATENATE("R1C",'Mapa final'!$Q$9),"")</f>
        <v/>
      </c>
      <c r="Q46" s="61" t="str">
        <f>IF(AND('Mapa final'!$AA$10="Muy Baja",'Mapa final'!$AC$10="Menor"),CONCATENATE("R1C",'Mapa final'!$Q$10),"")</f>
        <v/>
      </c>
      <c r="R46" s="61" t="str">
        <f>IF(AND('Mapa final'!$AA$11="Muy Baja",'Mapa final'!$AC$11="Menor"),CONCATENATE("R1C",'Mapa final'!$Q$11),"")</f>
        <v/>
      </c>
      <c r="S46" s="61" t="str">
        <f>IF(AND('Mapa final'!$AA$12="Muy Baja",'Mapa final'!$AC$12="Menor"),CONCATENATE("R1C",'Mapa final'!$Q$12),"")</f>
        <v/>
      </c>
      <c r="T46" s="61" t="str">
        <f>IF(AND('Mapa final'!$AA$13="Muy Baja",'Mapa final'!$AC$13="Menor"),CONCATENATE("R1C",'Mapa final'!$Q$13),"")</f>
        <v/>
      </c>
      <c r="U46" s="62" t="str">
        <f>IF(AND('Mapa final'!$AA$14="Muy Baja",'Mapa final'!$AC$14="Menor"),CONCATENATE("R1C",'Mapa final'!$Q$14),"")</f>
        <v/>
      </c>
      <c r="V46" s="51" t="str">
        <f>IF(AND('Mapa final'!$AA$9="Muy Baja",'Mapa final'!$AC$9="Moderado"),CONCATENATE("R1C",'Mapa final'!$Q$9),"")</f>
        <v/>
      </c>
      <c r="W46" s="69" t="str">
        <f>IF(AND('Mapa final'!$AA$10="Muy Baja",'Mapa final'!$AC$10="Moderado"),CONCATENATE("R1C",'Mapa final'!$Q$10),"")</f>
        <v/>
      </c>
      <c r="X46" s="52" t="str">
        <f>IF(AND('Mapa final'!$AA$11="Muy Baja",'Mapa final'!$AC$11="Moderado"),CONCATENATE("R1C",'Mapa final'!$Q$11),"")</f>
        <v/>
      </c>
      <c r="Y46" s="52" t="str">
        <f>IF(AND('Mapa final'!$AA$12="Muy Baja",'Mapa final'!$AC$12="Moderado"),CONCATENATE("R1C",'Mapa final'!$Q$12),"")</f>
        <v/>
      </c>
      <c r="Z46" s="52" t="str">
        <f>IF(AND('Mapa final'!$AA$13="Muy Baja",'Mapa final'!$AC$13="Moderado"),CONCATENATE("R1C",'Mapa final'!$Q$13),"")</f>
        <v/>
      </c>
      <c r="AA46" s="53" t="str">
        <f>IF(AND('Mapa final'!$AA$14="Muy Baja",'Mapa final'!$AC$14="Moderado"),CONCATENATE("R1C",'Mapa final'!$Q$14),"")</f>
        <v/>
      </c>
      <c r="AB46" s="32" t="str">
        <f>IF(AND('Mapa final'!$AA$9="Muy Baja",'Mapa final'!$AC$9="Mayor"),CONCATENATE("R1C",'Mapa final'!$Q$9),"")</f>
        <v/>
      </c>
      <c r="AC46" s="33" t="str">
        <f>IF(AND('Mapa final'!$AA$10="Muy Baja",'Mapa final'!$AC$10="Mayor"),CONCATENATE("R1C",'Mapa final'!$Q$10),"")</f>
        <v/>
      </c>
      <c r="AD46" s="33" t="str">
        <f>IF(AND('Mapa final'!$AA$11="Muy Baja",'Mapa final'!$AC$11="Mayor"),CONCATENATE("R1C",'Mapa final'!$Q$11),"")</f>
        <v/>
      </c>
      <c r="AE46" s="33" t="str">
        <f>IF(AND('Mapa final'!$AA$12="Muy Baja",'Mapa final'!$AC$12="Mayor"),CONCATENATE("R1C",'Mapa final'!$Q$12),"")</f>
        <v/>
      </c>
      <c r="AF46" s="33" t="str">
        <f>IF(AND('Mapa final'!$AA$13="Muy Baja",'Mapa final'!$AC$13="Mayor"),CONCATENATE("R1C",'Mapa final'!$Q$13),"")</f>
        <v/>
      </c>
      <c r="AG46" s="34" t="str">
        <f>IF(AND('Mapa final'!$AA$14="Muy Baja",'Mapa final'!$AC$14="Mayor"),CONCATENATE("R1C",'Mapa final'!$Q$14),"")</f>
        <v/>
      </c>
      <c r="AH46" s="35" t="str">
        <f>IF(AND('Mapa final'!$AA$9="Muy Baja",'Mapa final'!$AC$9="Catastrófico"),CONCATENATE("R1C",'Mapa final'!$Q$9),"")</f>
        <v/>
      </c>
      <c r="AI46" s="36" t="str">
        <f>IF(AND('Mapa final'!$AA$10="Muy Baja",'Mapa final'!$AC$10="Catastrófico"),CONCATENATE("R1C",'Mapa final'!$Q$10),"")</f>
        <v/>
      </c>
      <c r="AJ46" s="36" t="str">
        <f>IF(AND('Mapa final'!$AA$11="Muy Baja",'Mapa final'!$AC$11="Catastrófico"),CONCATENATE("R1C",'Mapa final'!$Q$11),"")</f>
        <v/>
      </c>
      <c r="AK46" s="36" t="str">
        <f>IF(AND('Mapa final'!$AA$12="Muy Baja",'Mapa final'!$AC$12="Catastrófico"),CONCATENATE("R1C",'Mapa final'!$Q$12),"")</f>
        <v/>
      </c>
      <c r="AL46" s="36" t="str">
        <f>IF(AND('Mapa final'!$AA$13="Muy Baja",'Mapa final'!$AC$13="Catastrófico"),CONCATENATE("R1C",'Mapa final'!$Q$13),"")</f>
        <v/>
      </c>
      <c r="AM46" s="37" t="str">
        <f>IF(AND('Mapa final'!$AA$14="Muy Baja",'Mapa final'!$AC$14="Catastrófico"),CONCATENATE("R1C",'Mapa final'!$Q$14),"")</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46.5" customHeight="1" x14ac:dyDescent="0.25">
      <c r="A47" s="70"/>
      <c r="B47" s="239"/>
      <c r="C47" s="239"/>
      <c r="D47" s="240"/>
      <c r="E47" s="338"/>
      <c r="F47" s="339"/>
      <c r="G47" s="339"/>
      <c r="H47" s="339"/>
      <c r="I47" s="356"/>
      <c r="J47" s="63" t="str">
        <f>IF(AND('Mapa final'!$AA$15="Muy Baja",'Mapa final'!$AC$15="Leve"),CONCATENATE("R2C",'Mapa final'!$Q$15),"")</f>
        <v/>
      </c>
      <c r="K47" s="64" t="str">
        <f>IF(AND('Mapa final'!$AA$16="Muy Baja",'Mapa final'!$AC$16="Leve"),CONCATENATE("R2C",'Mapa final'!$Q$16),"")</f>
        <v/>
      </c>
      <c r="L47" s="64" t="str">
        <f>IF(AND('Mapa final'!$AA$17="Muy Baja",'Mapa final'!$AC$17="Leve"),CONCATENATE("R2C",'Mapa final'!$Q$17),"")</f>
        <v/>
      </c>
      <c r="M47" s="64" t="str">
        <f>IF(AND('Mapa final'!$AA$18="Muy Baja",'Mapa final'!$AC$18="Leve"),CONCATENATE("R2C",'Mapa final'!$Q$18),"")</f>
        <v/>
      </c>
      <c r="N47" s="64" t="str">
        <f>IF(AND('Mapa final'!$AA$19="Muy Baja",'Mapa final'!$AC$19="Leve"),CONCATENATE("R2C",'Mapa final'!$Q$19),"")</f>
        <v/>
      </c>
      <c r="O47" s="65" t="str">
        <f>IF(AND('Mapa final'!$AA$20="Muy Baja",'Mapa final'!$AC$20="Leve"),CONCATENATE("R2C",'Mapa final'!$Q$20),"")</f>
        <v/>
      </c>
      <c r="P47" s="63" t="str">
        <f>IF(AND('Mapa final'!$AA$15="Muy Baja",'Mapa final'!$AC$15="Menor"),CONCATENATE("R2C",'Mapa final'!$Q$15),"")</f>
        <v/>
      </c>
      <c r="Q47" s="64" t="str">
        <f>IF(AND('Mapa final'!$AA$16="Muy Baja",'Mapa final'!$AC$16="Menor"),CONCATENATE("R2C",'Mapa final'!$Q$16),"")</f>
        <v/>
      </c>
      <c r="R47" s="64" t="str">
        <f>IF(AND('Mapa final'!$AA$17="Muy Baja",'Mapa final'!$AC$17="Menor"),CONCATENATE("R2C",'Mapa final'!$Q$17),"")</f>
        <v/>
      </c>
      <c r="S47" s="64" t="str">
        <f>IF(AND('Mapa final'!$AA$18="Muy Baja",'Mapa final'!$AC$18="Menor"),CONCATENATE("R2C",'Mapa final'!$Q$18),"")</f>
        <v/>
      </c>
      <c r="T47" s="64" t="str">
        <f>IF(AND('Mapa final'!$AA$19="Muy Baja",'Mapa final'!$AC$19="Menor"),CONCATENATE("R2C",'Mapa final'!$Q$19),"")</f>
        <v/>
      </c>
      <c r="U47" s="65" t="str">
        <f>IF(AND('Mapa final'!$AA$20="Muy Baja",'Mapa final'!$AC$20="Menor"),CONCATENATE("R2C",'Mapa final'!$Q$20),"")</f>
        <v/>
      </c>
      <c r="V47" s="54" t="str">
        <f>IF(AND('Mapa final'!$AA$15="Muy Baja",'Mapa final'!$AC$15="Moderado"),CONCATENATE("R2C",'Mapa final'!$Q$15),"")</f>
        <v/>
      </c>
      <c r="W47" s="55" t="str">
        <f>IF(AND('Mapa final'!$AA$16="Muy Baja",'Mapa final'!$AC$16="Moderado"),CONCATENATE("R2C",'Mapa final'!$Q$16),"")</f>
        <v/>
      </c>
      <c r="X47" s="55" t="str">
        <f>IF(AND('Mapa final'!$AA$17="Muy Baja",'Mapa final'!$AC$17="Moderado"),CONCATENATE("R2C",'Mapa final'!$Q$17),"")</f>
        <v/>
      </c>
      <c r="Y47" s="55" t="str">
        <f>IF(AND('Mapa final'!$AA$18="Muy Baja",'Mapa final'!$AC$18="Moderado"),CONCATENATE("R2C",'Mapa final'!$Q$18),"")</f>
        <v/>
      </c>
      <c r="Z47" s="55" t="str">
        <f>IF(AND('Mapa final'!$AA$19="Muy Baja",'Mapa final'!$AC$19="Moderado"),CONCATENATE("R2C",'Mapa final'!$Q$19),"")</f>
        <v/>
      </c>
      <c r="AA47" s="56" t="str">
        <f>IF(AND('Mapa final'!$AA$20="Muy Baja",'Mapa final'!$AC$20="Moderado"),CONCATENATE("R2C",'Mapa final'!$Q$20),"")</f>
        <v/>
      </c>
      <c r="AB47" s="38" t="str">
        <f>IF(AND('Mapa final'!$AA$15="Muy Baja",'Mapa final'!$AC$15="Mayor"),CONCATENATE("R2C",'Mapa final'!$Q$15),"")</f>
        <v/>
      </c>
      <c r="AC47" s="39" t="str">
        <f>IF(AND('Mapa final'!$AA$16="Muy Baja",'Mapa final'!$AC$16="Mayor"),CONCATENATE("R2C",'Mapa final'!$Q$16),"")</f>
        <v/>
      </c>
      <c r="AD47" s="39" t="str">
        <f>IF(AND('Mapa final'!$AA$17="Muy Baja",'Mapa final'!$AC$17="Mayor"),CONCATENATE("R2C",'Mapa final'!$Q$17),"")</f>
        <v/>
      </c>
      <c r="AE47" s="39" t="str">
        <f>IF(AND('Mapa final'!$AA$18="Muy Baja",'Mapa final'!$AC$18="Mayor"),CONCATENATE("R2C",'Mapa final'!$Q$18),"")</f>
        <v/>
      </c>
      <c r="AF47" s="39" t="str">
        <f>IF(AND('Mapa final'!$AA$19="Muy Baja",'Mapa final'!$AC$19="Mayor"),CONCATENATE("R2C",'Mapa final'!$Q$19),"")</f>
        <v/>
      </c>
      <c r="AG47" s="40" t="str">
        <f>IF(AND('Mapa final'!$AA$20="Muy Baja",'Mapa final'!$AC$20="Mayor"),CONCATENATE("R2C",'Mapa final'!$Q$20),"")</f>
        <v/>
      </c>
      <c r="AH47" s="41" t="str">
        <f>IF(AND('Mapa final'!$AA$15="Muy Baja",'Mapa final'!$AC$15="Catastrófico"),CONCATENATE("R2C",'Mapa final'!$Q$15),"")</f>
        <v/>
      </c>
      <c r="AI47" s="42" t="str">
        <f>IF(AND('Mapa final'!$AA$16="Muy Baja",'Mapa final'!$AC$16="Catastrófico"),CONCATENATE("R2C",'Mapa final'!$Q$16),"")</f>
        <v/>
      </c>
      <c r="AJ47" s="42" t="str">
        <f>IF(AND('Mapa final'!$AA$17="Muy Baja",'Mapa final'!$AC$17="Catastrófico"),CONCATENATE("R2C",'Mapa final'!$Q$17),"")</f>
        <v/>
      </c>
      <c r="AK47" s="42" t="str">
        <f>IF(AND('Mapa final'!$AA$18="Muy Baja",'Mapa final'!$AC$18="Catastrófico"),CONCATENATE("R2C",'Mapa final'!$Q$18),"")</f>
        <v/>
      </c>
      <c r="AL47" s="42" t="str">
        <f>IF(AND('Mapa final'!$AA$19="Muy Baja",'Mapa final'!$AC$19="Catastrófico"),CONCATENATE("R2C",'Mapa final'!$Q$19),"")</f>
        <v/>
      </c>
      <c r="AM47" s="43" t="str">
        <f>IF(AND('Mapa final'!$AA$20="Muy Baja",'Mapa final'!$AC$20="Catastrófico"),CONCATENATE("R2C",'Mapa final'!$Q$20),"")</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39"/>
      <c r="C48" s="239"/>
      <c r="D48" s="240"/>
      <c r="E48" s="338"/>
      <c r="F48" s="339"/>
      <c r="G48" s="339"/>
      <c r="H48" s="339"/>
      <c r="I48" s="356"/>
      <c r="J48" s="63" t="str">
        <f>IF(AND('Mapa final'!$AA$21="Muy Baja",'Mapa final'!$AC$21="Leve"),CONCATENATE("R3C",'Mapa final'!$Q$21),"")</f>
        <v/>
      </c>
      <c r="K48" s="64" t="str">
        <f>IF(AND('Mapa final'!$AA$22="Muy Baja",'Mapa final'!$AC$22="Leve"),CONCATENATE("R3C",'Mapa final'!$Q$22),"")</f>
        <v/>
      </c>
      <c r="L48" s="64" t="str">
        <f>IF(AND('Mapa final'!$AA$23="Muy Baja",'Mapa final'!$AC$23="Leve"),CONCATENATE("R3C",'Mapa final'!$Q$23),"")</f>
        <v/>
      </c>
      <c r="M48" s="64" t="str">
        <f>IF(AND('Mapa final'!$AA$24="Muy Baja",'Mapa final'!$AC$24="Leve"),CONCATENATE("R3C",'Mapa final'!$Q$24),"")</f>
        <v/>
      </c>
      <c r="N48" s="64" t="str">
        <f>IF(AND('Mapa final'!$AA$25="Muy Baja",'Mapa final'!$AC$25="Leve"),CONCATENATE("R3C",'Mapa final'!$Q$25),"")</f>
        <v/>
      </c>
      <c r="O48" s="65" t="str">
        <f>IF(AND('Mapa final'!$AA$26="Muy Baja",'Mapa final'!$AC$26="Leve"),CONCATENATE("R3C",'Mapa final'!$Q$26),"")</f>
        <v/>
      </c>
      <c r="P48" s="63" t="str">
        <f>IF(AND('Mapa final'!$AA$21="Muy Baja",'Mapa final'!$AC$21="Menor"),CONCATENATE("R3C",'Mapa final'!$Q$21),"")</f>
        <v/>
      </c>
      <c r="Q48" s="64" t="str">
        <f>IF(AND('Mapa final'!$AA$22="Muy Baja",'Mapa final'!$AC$22="Menor"),CONCATENATE("R3C",'Mapa final'!$Q$22),"")</f>
        <v/>
      </c>
      <c r="R48" s="64" t="str">
        <f>IF(AND('Mapa final'!$AA$23="Muy Baja",'Mapa final'!$AC$23="Menor"),CONCATENATE("R3C",'Mapa final'!$Q$23),"")</f>
        <v/>
      </c>
      <c r="S48" s="64" t="str">
        <f>IF(AND('Mapa final'!$AA$24="Muy Baja",'Mapa final'!$AC$24="Menor"),CONCATENATE("R3C",'Mapa final'!$Q$24),"")</f>
        <v/>
      </c>
      <c r="T48" s="64" t="str">
        <f>IF(AND('Mapa final'!$AA$25="Muy Baja",'Mapa final'!$AC$25="Menor"),CONCATENATE("R3C",'Mapa final'!$Q$25),"")</f>
        <v/>
      </c>
      <c r="U48" s="65" t="str">
        <f>IF(AND('Mapa final'!$AA$26="Muy Baja",'Mapa final'!$AC$26="Menor"),CONCATENATE("R3C",'Mapa final'!$Q$26),"")</f>
        <v/>
      </c>
      <c r="V48" s="54" t="str">
        <f>IF(AND('Mapa final'!$AA$21="Muy Baja",'Mapa final'!$AC$21="Moderado"),CONCATENATE("R3C",'Mapa final'!$Q$21),"")</f>
        <v/>
      </c>
      <c r="W48" s="55" t="str">
        <f>IF(AND('Mapa final'!$AA$22="Muy Baja",'Mapa final'!$AC$22="Moderado"),CONCATENATE("R3C",'Mapa final'!$Q$22),"")</f>
        <v/>
      </c>
      <c r="X48" s="55" t="str">
        <f>IF(AND('Mapa final'!$AA$23="Muy Baja",'Mapa final'!$AC$23="Moderado"),CONCATENATE("R3C",'Mapa final'!$Q$23),"")</f>
        <v/>
      </c>
      <c r="Y48" s="55" t="str">
        <f>IF(AND('Mapa final'!$AA$24="Muy Baja",'Mapa final'!$AC$24="Moderado"),CONCATENATE("R3C",'Mapa final'!$Q$24),"")</f>
        <v/>
      </c>
      <c r="Z48" s="55" t="str">
        <f>IF(AND('Mapa final'!$AA$25="Muy Baja",'Mapa final'!$AC$25="Moderado"),CONCATENATE("R3C",'Mapa final'!$Q$25),"")</f>
        <v/>
      </c>
      <c r="AA48" s="56" t="str">
        <f>IF(AND('Mapa final'!$AA$26="Muy Baja",'Mapa final'!$AC$26="Moderado"),CONCATENATE("R3C",'Mapa final'!$Q$26),"")</f>
        <v/>
      </c>
      <c r="AB48" s="38" t="str">
        <f>IF(AND('Mapa final'!$AA$21="Muy Baja",'Mapa final'!$AC$21="Mayor"),CONCATENATE("R3C",'Mapa final'!$Q$21),"")</f>
        <v/>
      </c>
      <c r="AC48" s="39" t="str">
        <f>IF(AND('Mapa final'!$AA$22="Muy Baja",'Mapa final'!$AC$22="Mayor"),CONCATENATE("R3C",'Mapa final'!$Q$22),"")</f>
        <v/>
      </c>
      <c r="AD48" s="39" t="str">
        <f>IF(AND('Mapa final'!$AA$23="Muy Baja",'Mapa final'!$AC$23="Mayor"),CONCATENATE("R3C",'Mapa final'!$Q$23),"")</f>
        <v/>
      </c>
      <c r="AE48" s="39" t="str">
        <f>IF(AND('Mapa final'!$AA$24="Muy Baja",'Mapa final'!$AC$24="Mayor"),CONCATENATE("R3C",'Mapa final'!$Q$24),"")</f>
        <v/>
      </c>
      <c r="AF48" s="39" t="str">
        <f>IF(AND('Mapa final'!$AA$25="Muy Baja",'Mapa final'!$AC$25="Mayor"),CONCATENATE("R3C",'Mapa final'!$Q$25),"")</f>
        <v/>
      </c>
      <c r="AG48" s="40" t="str">
        <f>IF(AND('Mapa final'!$AA$26="Muy Baja",'Mapa final'!$AC$26="Mayor"),CONCATENATE("R3C",'Mapa final'!$Q$26),"")</f>
        <v/>
      </c>
      <c r="AH48" s="41" t="str">
        <f>IF(AND('Mapa final'!$AA$21="Muy Baja",'Mapa final'!$AC$21="Catastrófico"),CONCATENATE("R3C",'Mapa final'!$Q$21),"")</f>
        <v/>
      </c>
      <c r="AI48" s="42" t="str">
        <f>IF(AND('Mapa final'!$AA$22="Muy Baja",'Mapa final'!$AC$22="Catastrófico"),CONCATENATE("R3C",'Mapa final'!$Q$22),"")</f>
        <v/>
      </c>
      <c r="AJ48" s="42" t="str">
        <f>IF(AND('Mapa final'!$AA$23="Muy Baja",'Mapa final'!$AC$23="Catastrófico"),CONCATENATE("R3C",'Mapa final'!$Q$23),"")</f>
        <v/>
      </c>
      <c r="AK48" s="42" t="str">
        <f>IF(AND('Mapa final'!$AA$24="Muy Baja",'Mapa final'!$AC$24="Catastrófico"),CONCATENATE("R3C",'Mapa final'!$Q$24),"")</f>
        <v/>
      </c>
      <c r="AL48" s="42" t="str">
        <f>IF(AND('Mapa final'!$AA$25="Muy Baja",'Mapa final'!$AC$25="Catastrófico"),CONCATENATE("R3C",'Mapa final'!$Q$25),"")</f>
        <v/>
      </c>
      <c r="AM48" s="43" t="str">
        <f>IF(AND('Mapa final'!$AA$26="Muy Baja",'Mapa final'!$AC$26="Catastrófico"),CONCATENATE("R3C",'Mapa final'!$Q$26),"")</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39"/>
      <c r="C49" s="239"/>
      <c r="D49" s="240"/>
      <c r="E49" s="340"/>
      <c r="F49" s="341"/>
      <c r="G49" s="341"/>
      <c r="H49" s="341"/>
      <c r="I49" s="356"/>
      <c r="J49" s="63" t="str">
        <f>IF(AND('Mapa final'!$AA$27="Muy Baja",'Mapa final'!$AC$27="Leve"),CONCATENATE("R4C",'Mapa final'!$Q$27),"")</f>
        <v/>
      </c>
      <c r="K49" s="64" t="str">
        <f>IF(AND('Mapa final'!$AA$28="Muy Baja",'Mapa final'!$AC$28="Leve"),CONCATENATE("R4C",'Mapa final'!$Q$28),"")</f>
        <v/>
      </c>
      <c r="L49" s="64" t="str">
        <f>IF(AND('Mapa final'!$AA$29="Muy Baja",'Mapa final'!$AC$29="Leve"),CONCATENATE("R4C",'Mapa final'!$Q$29),"")</f>
        <v/>
      </c>
      <c r="M49" s="64" t="str">
        <f>IF(AND('Mapa final'!$AA$30="Muy Baja",'Mapa final'!$AC$30="Leve"),CONCATENATE("R4C",'Mapa final'!$Q$30),"")</f>
        <v/>
      </c>
      <c r="N49" s="64" t="str">
        <f>IF(AND('Mapa final'!$AA$31="Muy Baja",'Mapa final'!$AC$31="Leve"),CONCATENATE("R4C",'Mapa final'!$Q$31),"")</f>
        <v/>
      </c>
      <c r="O49" s="65" t="str">
        <f>IF(AND('Mapa final'!$AA$32="Muy Baja",'Mapa final'!$AC$32="Leve"),CONCATENATE("R4C",'Mapa final'!$Q$32),"")</f>
        <v/>
      </c>
      <c r="P49" s="63" t="str">
        <f>IF(AND('Mapa final'!$AA$27="Muy Baja",'Mapa final'!$AC$27="Menor"),CONCATENATE("R4C",'Mapa final'!$Q$27),"")</f>
        <v/>
      </c>
      <c r="Q49" s="64" t="str">
        <f>IF(AND('Mapa final'!$AA$28="Muy Baja",'Mapa final'!$AC$28="Menor"),CONCATENATE("R4C",'Mapa final'!$Q$28),"")</f>
        <v/>
      </c>
      <c r="R49" s="64" t="str">
        <f>IF(AND('Mapa final'!$AA$29="Muy Baja",'Mapa final'!$AC$29="Menor"),CONCATENATE("R4C",'Mapa final'!$Q$29),"")</f>
        <v/>
      </c>
      <c r="S49" s="64" t="str">
        <f>IF(AND('Mapa final'!$AA$30="Muy Baja",'Mapa final'!$AC$30="Menor"),CONCATENATE("R4C",'Mapa final'!$Q$30),"")</f>
        <v/>
      </c>
      <c r="T49" s="64" t="str">
        <f>IF(AND('Mapa final'!$AA$31="Muy Baja",'Mapa final'!$AC$31="Menor"),CONCATENATE("R4C",'Mapa final'!$Q$31),"")</f>
        <v/>
      </c>
      <c r="U49" s="65" t="str">
        <f>IF(AND('Mapa final'!$AA$32="Muy Baja",'Mapa final'!$AC$32="Menor"),CONCATENATE("R4C",'Mapa final'!$Q$32),"")</f>
        <v/>
      </c>
      <c r="V49" s="54" t="str">
        <f>IF(AND('Mapa final'!$AA$27="Muy Baja",'Mapa final'!$AC$27="Moderado"),CONCATENATE("R4C",'Mapa final'!$Q$27),"")</f>
        <v/>
      </c>
      <c r="W49" s="55" t="str">
        <f>IF(AND('Mapa final'!$AA$28="Muy Baja",'Mapa final'!$AC$28="Moderado"),CONCATENATE("R4C",'Mapa final'!$Q$28),"")</f>
        <v/>
      </c>
      <c r="X49" s="55" t="str">
        <f>IF(AND('Mapa final'!$AA$29="Muy Baja",'Mapa final'!$AC$29="Moderado"),CONCATENATE("R4C",'Mapa final'!$Q$29),"")</f>
        <v/>
      </c>
      <c r="Y49" s="55" t="str">
        <f>IF(AND('Mapa final'!$AA$30="Muy Baja",'Mapa final'!$AC$30="Moderado"),CONCATENATE("R4C",'Mapa final'!$Q$30),"")</f>
        <v/>
      </c>
      <c r="Z49" s="55" t="str">
        <f>IF(AND('Mapa final'!$AA$31="Muy Baja",'Mapa final'!$AC$31="Moderado"),CONCATENATE("R4C",'Mapa final'!$Q$31),"")</f>
        <v/>
      </c>
      <c r="AA49" s="56" t="str">
        <f>IF(AND('Mapa final'!$AA$32="Muy Baja",'Mapa final'!$AC$32="Moderado"),CONCATENATE("R4C",'Mapa final'!$Q$32),"")</f>
        <v/>
      </c>
      <c r="AB49" s="38" t="str">
        <f>IF(AND('Mapa final'!$AA$27="Muy Baja",'Mapa final'!$AC$27="Mayor"),CONCATENATE("R4C",'Mapa final'!$Q$27),"")</f>
        <v/>
      </c>
      <c r="AC49" s="39" t="str">
        <f>IF(AND('Mapa final'!$AA$28="Muy Baja",'Mapa final'!$AC$28="Mayor"),CONCATENATE("R4C",'Mapa final'!$Q$28),"")</f>
        <v/>
      </c>
      <c r="AD49" s="39" t="str">
        <f>IF(AND('Mapa final'!$AA$29="Muy Baja",'Mapa final'!$AC$29="Mayor"),CONCATENATE("R4C",'Mapa final'!$Q$29),"")</f>
        <v/>
      </c>
      <c r="AE49" s="39" t="str">
        <f>IF(AND('Mapa final'!$AA$30="Muy Baja",'Mapa final'!$AC$30="Mayor"),CONCATENATE("R4C",'Mapa final'!$Q$30),"")</f>
        <v/>
      </c>
      <c r="AF49" s="39" t="str">
        <f>IF(AND('Mapa final'!$AA$31="Muy Baja",'Mapa final'!$AC$31="Mayor"),CONCATENATE("R4C",'Mapa final'!$Q$31),"")</f>
        <v/>
      </c>
      <c r="AG49" s="40" t="str">
        <f>IF(AND('Mapa final'!$AA$32="Muy Baja",'Mapa final'!$AC$32="Mayor"),CONCATENATE("R4C",'Mapa final'!$Q$32),"")</f>
        <v/>
      </c>
      <c r="AH49" s="41" t="str">
        <f>IF(AND('Mapa final'!$AA$27="Muy Baja",'Mapa final'!$AC$27="Catastrófico"),CONCATENATE("R4C",'Mapa final'!$Q$27),"")</f>
        <v/>
      </c>
      <c r="AI49" s="42" t="str">
        <f>IF(AND('Mapa final'!$AA$28="Muy Baja",'Mapa final'!$AC$28="Catastrófico"),CONCATENATE("R4C",'Mapa final'!$Q$28),"")</f>
        <v/>
      </c>
      <c r="AJ49" s="42" t="str">
        <f>IF(AND('Mapa final'!$AA$29="Muy Baja",'Mapa final'!$AC$29="Catastrófico"),CONCATENATE("R4C",'Mapa final'!$Q$29),"")</f>
        <v/>
      </c>
      <c r="AK49" s="42" t="str">
        <f>IF(AND('Mapa final'!$AA$30="Muy Baja",'Mapa final'!$AC$30="Catastrófico"),CONCATENATE("R4C",'Mapa final'!$Q$30),"")</f>
        <v/>
      </c>
      <c r="AL49" s="42" t="str">
        <f>IF(AND('Mapa final'!$AA$31="Muy Baja",'Mapa final'!$AC$31="Catastrófico"),CONCATENATE("R4C",'Mapa final'!$Q$31),"")</f>
        <v/>
      </c>
      <c r="AM49" s="43" t="str">
        <f>IF(AND('Mapa final'!$AA$32="Muy Baja",'Mapa final'!$AC$32="Catastrófico"),CONCATENATE("R4C",'Mapa final'!$Q$32),"")</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39"/>
      <c r="C50" s="239"/>
      <c r="D50" s="240"/>
      <c r="E50" s="340"/>
      <c r="F50" s="341"/>
      <c r="G50" s="341"/>
      <c r="H50" s="341"/>
      <c r="I50" s="356"/>
      <c r="J50" s="63" t="str">
        <f>IF(AND('Mapa final'!$AA$33="Muy Baja",'Mapa final'!$AC$33="Leve"),CONCATENATE("R5C",'Mapa final'!$Q$33),"")</f>
        <v/>
      </c>
      <c r="K50" s="64" t="str">
        <f>IF(AND('Mapa final'!$AA$34="Muy Baja",'Mapa final'!$AC$34="Leve"),CONCATENATE("R5C",'Mapa final'!$Q$34),"")</f>
        <v/>
      </c>
      <c r="L50" s="64" t="str">
        <f>IF(AND('Mapa final'!$AA$35="Muy Baja",'Mapa final'!$AC$35="Leve"),CONCATENATE("R5C",'Mapa final'!$Q$35),"")</f>
        <v/>
      </c>
      <c r="M50" s="64" t="str">
        <f>IF(AND('Mapa final'!$AA$36="Muy Baja",'Mapa final'!$AC$36="Leve"),CONCATENATE("R5C",'Mapa final'!$Q$36),"")</f>
        <v/>
      </c>
      <c r="N50" s="64" t="str">
        <f>IF(AND('Mapa final'!$AA$37="Muy Baja",'Mapa final'!$AC$37="Leve"),CONCATENATE("R5C",'Mapa final'!$Q$37),"")</f>
        <v/>
      </c>
      <c r="O50" s="65" t="str">
        <f>IF(AND('Mapa final'!$AA$38="Muy Baja",'Mapa final'!$AC$38="Leve"),CONCATENATE("R5C",'Mapa final'!$Q$38),"")</f>
        <v/>
      </c>
      <c r="P50" s="63" t="str">
        <f>IF(AND('Mapa final'!$AA$33="Muy Baja",'Mapa final'!$AC$33="Menor"),CONCATENATE("R5C",'Mapa final'!$Q$33),"")</f>
        <v/>
      </c>
      <c r="Q50" s="64" t="str">
        <f>IF(AND('Mapa final'!$AA$34="Muy Baja",'Mapa final'!$AC$34="Menor"),CONCATENATE("R5C",'Mapa final'!$Q$34),"")</f>
        <v/>
      </c>
      <c r="R50" s="64" t="str">
        <f>IF(AND('Mapa final'!$AA$35="Muy Baja",'Mapa final'!$AC$35="Menor"),CONCATENATE("R5C",'Mapa final'!$Q$35),"")</f>
        <v/>
      </c>
      <c r="S50" s="64" t="str">
        <f>IF(AND('Mapa final'!$AA$36="Muy Baja",'Mapa final'!$AC$36="Menor"),CONCATENATE("R5C",'Mapa final'!$Q$36),"")</f>
        <v/>
      </c>
      <c r="T50" s="64" t="str">
        <f>IF(AND('Mapa final'!$AA$37="Muy Baja",'Mapa final'!$AC$37="Menor"),CONCATENATE("R5C",'Mapa final'!$Q$37),"")</f>
        <v/>
      </c>
      <c r="U50" s="65" t="str">
        <f>IF(AND('Mapa final'!$AA$38="Muy Baja",'Mapa final'!$AC$38="Menor"),CONCATENATE("R5C",'Mapa final'!$Q$38),"")</f>
        <v/>
      </c>
      <c r="V50" s="54" t="str">
        <f>IF(AND('Mapa final'!$AA$33="Muy Baja",'Mapa final'!$AC$33="Moderado"),CONCATENATE("R5C",'Mapa final'!$Q$33),"")</f>
        <v/>
      </c>
      <c r="W50" s="55" t="str">
        <f>IF(AND('Mapa final'!$AA$34="Muy Baja",'Mapa final'!$AC$34="Moderado"),CONCATENATE("R5C",'Mapa final'!$Q$34),"")</f>
        <v/>
      </c>
      <c r="X50" s="55" t="str">
        <f>IF(AND('Mapa final'!$AA$35="Muy Baja",'Mapa final'!$AC$35="Moderado"),CONCATENATE("R5C",'Mapa final'!$Q$35),"")</f>
        <v/>
      </c>
      <c r="Y50" s="55" t="str">
        <f>IF(AND('Mapa final'!$AA$36="Muy Baja",'Mapa final'!$AC$36="Moderado"),CONCATENATE("R5C",'Mapa final'!$Q$36),"")</f>
        <v/>
      </c>
      <c r="Z50" s="55" t="str">
        <f>IF(AND('Mapa final'!$AA$37="Muy Baja",'Mapa final'!$AC$37="Moderado"),CONCATENATE("R5C",'Mapa final'!$Q$37),"")</f>
        <v/>
      </c>
      <c r="AA50" s="56" t="str">
        <f>IF(AND('Mapa final'!$AA$38="Muy Baja",'Mapa final'!$AC$38="Moderado"),CONCATENATE("R5C",'Mapa final'!$Q$38),"")</f>
        <v/>
      </c>
      <c r="AB50" s="38" t="str">
        <f>IF(AND('Mapa final'!$AA$33="Muy Baja",'Mapa final'!$AC$33="Mayor"),CONCATENATE("R5C",'Mapa final'!$Q$33),"")</f>
        <v/>
      </c>
      <c r="AC50" s="39" t="str">
        <f>IF(AND('Mapa final'!$AA$34="Muy Baja",'Mapa final'!$AC$34="Mayor"),CONCATENATE("R5C",'Mapa final'!$Q$34),"")</f>
        <v/>
      </c>
      <c r="AD50" s="44" t="str">
        <f>IF(AND('Mapa final'!$AA$35="Muy Baja",'Mapa final'!$AC$35="Mayor"),CONCATENATE("R5C",'Mapa final'!$Q$35),"")</f>
        <v/>
      </c>
      <c r="AE50" s="44" t="str">
        <f>IF(AND('Mapa final'!$AA$36="Muy Baja",'Mapa final'!$AC$36="Mayor"),CONCATENATE("R5C",'Mapa final'!$Q$36),"")</f>
        <v/>
      </c>
      <c r="AF50" s="44" t="str">
        <f>IF(AND('Mapa final'!$AA$37="Muy Baja",'Mapa final'!$AC$37="Mayor"),CONCATENATE("R5C",'Mapa final'!$Q$37),"")</f>
        <v/>
      </c>
      <c r="AG50" s="40" t="str">
        <f>IF(AND('Mapa final'!$AA$38="Muy Baja",'Mapa final'!$AC$38="Mayor"),CONCATENATE("R5C",'Mapa final'!$Q$38),"")</f>
        <v/>
      </c>
      <c r="AH50" s="41" t="str">
        <f>IF(AND('Mapa final'!$AA$33="Muy Baja",'Mapa final'!$AC$33="Catastrófico"),CONCATENATE("R5C",'Mapa final'!$Q$33),"")</f>
        <v/>
      </c>
      <c r="AI50" s="42" t="str">
        <f>IF(AND('Mapa final'!$AA$34="Muy Baja",'Mapa final'!$AC$34="Catastrófico"),CONCATENATE("R5C",'Mapa final'!$Q$34),"")</f>
        <v/>
      </c>
      <c r="AJ50" s="42" t="str">
        <f>IF(AND('Mapa final'!$AA$35="Muy Baja",'Mapa final'!$AC$35="Catastrófico"),CONCATENATE("R5C",'Mapa final'!$Q$35),"")</f>
        <v/>
      </c>
      <c r="AK50" s="42" t="str">
        <f>IF(AND('Mapa final'!$AA$36="Muy Baja",'Mapa final'!$AC$36="Catastrófico"),CONCATENATE("R5C",'Mapa final'!$Q$36),"")</f>
        <v/>
      </c>
      <c r="AL50" s="42" t="str">
        <f>IF(AND('Mapa final'!$AA$37="Muy Baja",'Mapa final'!$AC$37="Catastrófico"),CONCATENATE("R5C",'Mapa final'!$Q$37),"")</f>
        <v/>
      </c>
      <c r="AM50" s="43" t="str">
        <f>IF(AND('Mapa final'!$AA$38="Muy Baja",'Mapa final'!$AC$38="Catastrófico"),CONCATENATE("R5C",'Mapa final'!$Q$38),"")</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39"/>
      <c r="C51" s="239"/>
      <c r="D51" s="240"/>
      <c r="E51" s="340"/>
      <c r="F51" s="341"/>
      <c r="G51" s="341"/>
      <c r="H51" s="341"/>
      <c r="I51" s="356"/>
      <c r="J51" s="63" t="str">
        <f>IF(AND('Mapa final'!$AA$39="Muy Baja",'Mapa final'!$AC$39="Leve"),CONCATENATE("R6C",'Mapa final'!$Q$39),"")</f>
        <v/>
      </c>
      <c r="K51" s="64" t="str">
        <f>IF(AND('Mapa final'!$AA$40="Muy Baja",'Mapa final'!$AC$40="Leve"),CONCATENATE("R6C",'Mapa final'!$Q$40),"")</f>
        <v/>
      </c>
      <c r="L51" s="64" t="str">
        <f>IF(AND('Mapa final'!$AA$41="Muy Baja",'Mapa final'!$AC$41="Leve"),CONCATENATE("R6C",'Mapa final'!$Q$41),"")</f>
        <v/>
      </c>
      <c r="M51" s="64" t="str">
        <f>IF(AND('Mapa final'!$AA$42="Muy Baja",'Mapa final'!$AC$42="Leve"),CONCATENATE("R6C",'Mapa final'!$Q$42),"")</f>
        <v/>
      </c>
      <c r="N51" s="64" t="str">
        <f>IF(AND('Mapa final'!$AA$43="Muy Baja",'Mapa final'!$AC$43="Leve"),CONCATENATE("R6C",'Mapa final'!$Q$43),"")</f>
        <v/>
      </c>
      <c r="O51" s="65" t="str">
        <f>IF(AND('Mapa final'!$AA$44="Muy Baja",'Mapa final'!$AC$44="Leve"),CONCATENATE("R6C",'Mapa final'!$Q$44),"")</f>
        <v/>
      </c>
      <c r="P51" s="63" t="str">
        <f>IF(AND('Mapa final'!$AA$39="Muy Baja",'Mapa final'!$AC$39="Menor"),CONCATENATE("R6C",'Mapa final'!$Q$39),"")</f>
        <v/>
      </c>
      <c r="Q51" s="64" t="str">
        <f>IF(AND('Mapa final'!$AA$40="Muy Baja",'Mapa final'!$AC$40="Menor"),CONCATENATE("R6C",'Mapa final'!$Q$40),"")</f>
        <v/>
      </c>
      <c r="R51" s="64" t="str">
        <f>IF(AND('Mapa final'!$AA$41="Muy Baja",'Mapa final'!$AC$41="Menor"),CONCATENATE("R6C",'Mapa final'!$Q$41),"")</f>
        <v/>
      </c>
      <c r="S51" s="64" t="str">
        <f>IF(AND('Mapa final'!$AA$42="Muy Baja",'Mapa final'!$AC$42="Menor"),CONCATENATE("R6C",'Mapa final'!$Q$42),"")</f>
        <v/>
      </c>
      <c r="T51" s="64" t="str">
        <f>IF(AND('Mapa final'!$AA$43="Muy Baja",'Mapa final'!$AC$43="Menor"),CONCATENATE("R6C",'Mapa final'!$Q$43),"")</f>
        <v/>
      </c>
      <c r="U51" s="65" t="str">
        <f>IF(AND('Mapa final'!$AA$44="Muy Baja",'Mapa final'!$AC$44="Menor"),CONCATENATE("R6C",'Mapa final'!$Q$44),"")</f>
        <v/>
      </c>
      <c r="V51" s="54" t="str">
        <f>IF(AND('Mapa final'!$AA$39="Muy Baja",'Mapa final'!$AC$39="Moderado"),CONCATENATE("R6C",'Mapa final'!$Q$39),"")</f>
        <v/>
      </c>
      <c r="W51" s="55" t="str">
        <f>IF(AND('Mapa final'!$AA$40="Muy Baja",'Mapa final'!$AC$40="Moderado"),CONCATENATE("R6C",'Mapa final'!$Q$40),"")</f>
        <v/>
      </c>
      <c r="X51" s="55" t="str">
        <f>IF(AND('Mapa final'!$AA$41="Muy Baja",'Mapa final'!$AC$41="Moderado"),CONCATENATE("R6C",'Mapa final'!$Q$41),"")</f>
        <v/>
      </c>
      <c r="Y51" s="55" t="str">
        <f>IF(AND('Mapa final'!$AA$42="Muy Baja",'Mapa final'!$AC$42="Moderado"),CONCATENATE("R6C",'Mapa final'!$Q$42),"")</f>
        <v/>
      </c>
      <c r="Z51" s="55" t="str">
        <f>IF(AND('Mapa final'!$AA$43="Muy Baja",'Mapa final'!$AC$43="Moderado"),CONCATENATE("R6C",'Mapa final'!$Q$43),"")</f>
        <v/>
      </c>
      <c r="AA51" s="56" t="str">
        <f>IF(AND('Mapa final'!$AA$44="Muy Baja",'Mapa final'!$AC$44="Moderado"),CONCATENATE("R6C",'Mapa final'!$Q$44),"")</f>
        <v/>
      </c>
      <c r="AB51" s="38" t="str">
        <f>IF(AND('Mapa final'!$AA$39="Muy Baja",'Mapa final'!$AC$39="Mayor"),CONCATENATE("R6C",'Mapa final'!$Q$39),"")</f>
        <v/>
      </c>
      <c r="AC51" s="39" t="str">
        <f>IF(AND('Mapa final'!$AA$40="Muy Baja",'Mapa final'!$AC$40="Mayor"),CONCATENATE("R6C",'Mapa final'!$Q$40),"")</f>
        <v/>
      </c>
      <c r="AD51" s="44" t="str">
        <f>IF(AND('Mapa final'!$AA$41="Muy Baja",'Mapa final'!$AC$41="Mayor"),CONCATENATE("R6C",'Mapa final'!$Q$41),"")</f>
        <v/>
      </c>
      <c r="AE51" s="44" t="str">
        <f>IF(AND('Mapa final'!$AA$42="Muy Baja",'Mapa final'!$AC$42="Mayor"),CONCATENATE("R6C",'Mapa final'!$Q$42),"")</f>
        <v/>
      </c>
      <c r="AF51" s="44" t="str">
        <f>IF(AND('Mapa final'!$AA$43="Muy Baja",'Mapa final'!$AC$43="Mayor"),CONCATENATE("R6C",'Mapa final'!$Q$43),"")</f>
        <v/>
      </c>
      <c r="AG51" s="40" t="str">
        <f>IF(AND('Mapa final'!$AA$44="Muy Baja",'Mapa final'!$AC$44="Mayor"),CONCATENATE("R6C",'Mapa final'!$Q$44),"")</f>
        <v/>
      </c>
      <c r="AH51" s="41" t="str">
        <f>IF(AND('Mapa final'!$AA$39="Muy Baja",'Mapa final'!$AC$39="Catastrófico"),CONCATENATE("R6C",'Mapa final'!$Q$39),"")</f>
        <v/>
      </c>
      <c r="AI51" s="42" t="str">
        <f>IF(AND('Mapa final'!$AA$40="Muy Baja",'Mapa final'!$AC$40="Catastrófico"),CONCATENATE("R6C",'Mapa final'!$Q$40),"")</f>
        <v/>
      </c>
      <c r="AJ51" s="42" t="str">
        <f>IF(AND('Mapa final'!$AA$41="Muy Baja",'Mapa final'!$AC$41="Catastrófico"),CONCATENATE("R6C",'Mapa final'!$Q$41),"")</f>
        <v/>
      </c>
      <c r="AK51" s="42" t="str">
        <f>IF(AND('Mapa final'!$AA$42="Muy Baja",'Mapa final'!$AC$42="Catastrófico"),CONCATENATE("R6C",'Mapa final'!$Q$42),"")</f>
        <v/>
      </c>
      <c r="AL51" s="42" t="str">
        <f>IF(AND('Mapa final'!$AA$43="Muy Baja",'Mapa final'!$AC$43="Catastrófico"),CONCATENATE("R6C",'Mapa final'!$Q$43),"")</f>
        <v/>
      </c>
      <c r="AM51" s="43" t="str">
        <f>IF(AND('Mapa final'!$AA$44="Muy Baja",'Mapa final'!$AC$44="Catastrófico"),CONCATENATE("R6C",'Mapa final'!$Q$44),"")</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39"/>
      <c r="C52" s="239"/>
      <c r="D52" s="240"/>
      <c r="E52" s="340"/>
      <c r="F52" s="341"/>
      <c r="G52" s="341"/>
      <c r="H52" s="341"/>
      <c r="I52" s="356"/>
      <c r="J52" s="63" t="str">
        <f>IF(AND('Mapa final'!$AA$45="Muy Baja",'Mapa final'!$AC$45="Leve"),CONCATENATE("R7C",'Mapa final'!$Q$45),"")</f>
        <v/>
      </c>
      <c r="K52" s="64" t="str">
        <f>IF(AND('Mapa final'!$AA$46="Muy Baja",'Mapa final'!$AC$46="Leve"),CONCATENATE("R7C",'Mapa final'!$Q$46),"")</f>
        <v/>
      </c>
      <c r="L52" s="64" t="str">
        <f>IF(AND('Mapa final'!$AA$47="Muy Baja",'Mapa final'!$AC$47="Leve"),CONCATENATE("R7C",'Mapa final'!$Q$47),"")</f>
        <v/>
      </c>
      <c r="M52" s="64" t="str">
        <f>IF(AND('Mapa final'!$AA$48="Muy Baja",'Mapa final'!$AC$48="Leve"),CONCATENATE("R7C",'Mapa final'!$Q$48),"")</f>
        <v/>
      </c>
      <c r="N52" s="64" t="str">
        <f>IF(AND('Mapa final'!$AA$49="Muy Baja",'Mapa final'!$AC$49="Leve"),CONCATENATE("R7C",'Mapa final'!$Q$49),"")</f>
        <v/>
      </c>
      <c r="O52" s="65" t="str">
        <f>IF(AND('Mapa final'!$AA$50="Muy Baja",'Mapa final'!$AC$50="Leve"),CONCATENATE("R7C",'Mapa final'!$Q$50),"")</f>
        <v/>
      </c>
      <c r="P52" s="63" t="str">
        <f>IF(AND('Mapa final'!$AA$45="Muy Baja",'Mapa final'!$AC$45="Menor"),CONCATENATE("R7C",'Mapa final'!$Q$45),"")</f>
        <v/>
      </c>
      <c r="Q52" s="64" t="str">
        <f>IF(AND('Mapa final'!$AA$46="Muy Baja",'Mapa final'!$AC$46="Menor"),CONCATENATE("R7C",'Mapa final'!$Q$46),"")</f>
        <v/>
      </c>
      <c r="R52" s="64" t="str">
        <f>IF(AND('Mapa final'!$AA$47="Muy Baja",'Mapa final'!$AC$47="Menor"),CONCATENATE("R7C",'Mapa final'!$Q$47),"")</f>
        <v/>
      </c>
      <c r="S52" s="64" t="str">
        <f>IF(AND('Mapa final'!$AA$48="Muy Baja",'Mapa final'!$AC$48="Menor"),CONCATENATE("R7C",'Mapa final'!$Q$48),"")</f>
        <v/>
      </c>
      <c r="T52" s="64" t="str">
        <f>IF(AND('Mapa final'!$AA$49="Muy Baja",'Mapa final'!$AC$49="Menor"),CONCATENATE("R7C",'Mapa final'!$Q$49),"")</f>
        <v/>
      </c>
      <c r="U52" s="65" t="str">
        <f>IF(AND('Mapa final'!$AA$50="Muy Baja",'Mapa final'!$AC$50="Menor"),CONCATENATE("R7C",'Mapa final'!$Q$50),"")</f>
        <v/>
      </c>
      <c r="V52" s="54" t="str">
        <f>IF(AND('Mapa final'!$AA$45="Muy Baja",'Mapa final'!$AC$45="Moderado"),CONCATENATE("R7C",'Mapa final'!$Q$45),"")</f>
        <v/>
      </c>
      <c r="W52" s="55" t="str">
        <f>IF(AND('Mapa final'!$AA$46="Muy Baja",'Mapa final'!$AC$46="Moderado"),CONCATENATE("R7C",'Mapa final'!$Q$46),"")</f>
        <v/>
      </c>
      <c r="X52" s="55" t="str">
        <f>IF(AND('Mapa final'!$AA$47="Muy Baja",'Mapa final'!$AC$47="Moderado"),CONCATENATE("R7C",'Mapa final'!$Q$47),"")</f>
        <v/>
      </c>
      <c r="Y52" s="55" t="str">
        <f>IF(AND('Mapa final'!$AA$48="Muy Baja",'Mapa final'!$AC$48="Moderado"),CONCATENATE("R7C",'Mapa final'!$Q$48),"")</f>
        <v/>
      </c>
      <c r="Z52" s="55" t="str">
        <f>IF(AND('Mapa final'!$AA$49="Muy Baja",'Mapa final'!$AC$49="Moderado"),CONCATENATE("R7C",'Mapa final'!$Q$49),"")</f>
        <v/>
      </c>
      <c r="AA52" s="56" t="str">
        <f>IF(AND('Mapa final'!$AA$50="Muy Baja",'Mapa final'!$AC$50="Moderado"),CONCATENATE("R7C",'Mapa final'!$Q$50),"")</f>
        <v/>
      </c>
      <c r="AB52" s="38" t="str">
        <f>IF(AND('Mapa final'!$AA$45="Muy Baja",'Mapa final'!$AC$45="Mayor"),CONCATENATE("R7C",'Mapa final'!$Q$45),"")</f>
        <v/>
      </c>
      <c r="AC52" s="39" t="str">
        <f>IF(AND('Mapa final'!$AA$46="Muy Baja",'Mapa final'!$AC$46="Mayor"),CONCATENATE("R7C",'Mapa final'!$Q$46),"")</f>
        <v/>
      </c>
      <c r="AD52" s="44" t="str">
        <f>IF(AND('Mapa final'!$AA$47="Muy Baja",'Mapa final'!$AC$47="Mayor"),CONCATENATE("R7C",'Mapa final'!$Q$47),"")</f>
        <v/>
      </c>
      <c r="AE52" s="44" t="str">
        <f>IF(AND('Mapa final'!$AA$48="Muy Baja",'Mapa final'!$AC$48="Mayor"),CONCATENATE("R7C",'Mapa final'!$Q$48),"")</f>
        <v/>
      </c>
      <c r="AF52" s="44" t="str">
        <f>IF(AND('Mapa final'!$AA$49="Muy Baja",'Mapa final'!$AC$49="Mayor"),CONCATENATE("R7C",'Mapa final'!$Q$49),"")</f>
        <v/>
      </c>
      <c r="AG52" s="40" t="str">
        <f>IF(AND('Mapa final'!$AA$50="Muy Baja",'Mapa final'!$AC$50="Mayor"),CONCATENATE("R7C",'Mapa final'!$Q$50),"")</f>
        <v/>
      </c>
      <c r="AH52" s="41" t="str">
        <f>IF(AND('Mapa final'!$AA$45="Muy Baja",'Mapa final'!$AC$45="Catastrófico"),CONCATENATE("R7C",'Mapa final'!$Q$45),"")</f>
        <v/>
      </c>
      <c r="AI52" s="42" t="str">
        <f>IF(AND('Mapa final'!$AA$46="Muy Baja",'Mapa final'!$AC$46="Catastrófico"),CONCATENATE("R7C",'Mapa final'!$Q$46),"")</f>
        <v/>
      </c>
      <c r="AJ52" s="42" t="str">
        <f>IF(AND('Mapa final'!$AA$47="Muy Baja",'Mapa final'!$AC$47="Catastrófico"),CONCATENATE("R7C",'Mapa final'!$Q$47),"")</f>
        <v/>
      </c>
      <c r="AK52" s="42" t="str">
        <f>IF(AND('Mapa final'!$AA$48="Muy Baja",'Mapa final'!$AC$48="Catastrófico"),CONCATENATE("R7C",'Mapa final'!$Q$48),"")</f>
        <v/>
      </c>
      <c r="AL52" s="42" t="str">
        <f>IF(AND('Mapa final'!$AA$49="Muy Baja",'Mapa final'!$AC$49="Catastrófico"),CONCATENATE("R7C",'Mapa final'!$Q$49),"")</f>
        <v/>
      </c>
      <c r="AM52" s="43" t="str">
        <f>IF(AND('Mapa final'!$AA$50="Muy Baja",'Mapa final'!$AC$50="Catastrófico"),CONCATENATE("R7C",'Mapa final'!$Q$50),"")</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39"/>
      <c r="C53" s="239"/>
      <c r="D53" s="240"/>
      <c r="E53" s="340"/>
      <c r="F53" s="341"/>
      <c r="G53" s="341"/>
      <c r="H53" s="341"/>
      <c r="I53" s="356"/>
      <c r="J53" s="63" t="str">
        <f>IF(AND('Mapa final'!$AA$51="Muy Baja",'Mapa final'!$AC$51="Leve"),CONCATENATE("R8C",'Mapa final'!$Q$51),"")</f>
        <v/>
      </c>
      <c r="K53" s="64" t="str">
        <f>IF(AND('Mapa final'!$AA$52="Muy Baja",'Mapa final'!$AC$52="Leve"),CONCATENATE("R8C",'Mapa final'!$Q$52),"")</f>
        <v/>
      </c>
      <c r="L53" s="64" t="str">
        <f>IF(AND('Mapa final'!$AA$53="Muy Baja",'Mapa final'!$AC$53="Leve"),CONCATENATE("R8C",'Mapa final'!$Q$53),"")</f>
        <v/>
      </c>
      <c r="M53" s="64" t="str">
        <f>IF(AND('Mapa final'!$AA$54="Muy Baja",'Mapa final'!$AC$54="Leve"),CONCATENATE("R8C",'Mapa final'!$Q$54),"")</f>
        <v/>
      </c>
      <c r="N53" s="64" t="str">
        <f>IF(AND('Mapa final'!$AA$55="Muy Baja",'Mapa final'!$AC$55="Leve"),CONCATENATE("R8C",'Mapa final'!$Q$55),"")</f>
        <v/>
      </c>
      <c r="O53" s="65" t="str">
        <f>IF(AND('Mapa final'!$AA$56="Muy Baja",'Mapa final'!$AC$56="Leve"),CONCATENATE("R8C",'Mapa final'!$Q$56),"")</f>
        <v/>
      </c>
      <c r="P53" s="63" t="str">
        <f>IF(AND('Mapa final'!$AA$51="Muy Baja",'Mapa final'!$AC$51="Menor"),CONCATENATE("R8C",'Mapa final'!$Q$51),"")</f>
        <v/>
      </c>
      <c r="Q53" s="64" t="str">
        <f>IF(AND('Mapa final'!$AA$52="Muy Baja",'Mapa final'!$AC$52="Menor"),CONCATENATE("R8C",'Mapa final'!$Q$52),"")</f>
        <v/>
      </c>
      <c r="R53" s="64" t="str">
        <f>IF(AND('Mapa final'!$AA$53="Muy Baja",'Mapa final'!$AC$53="Menor"),CONCATENATE("R8C",'Mapa final'!$Q$53),"")</f>
        <v/>
      </c>
      <c r="S53" s="64" t="str">
        <f>IF(AND('Mapa final'!$AA$54="Muy Baja",'Mapa final'!$AC$54="Menor"),CONCATENATE("R8C",'Mapa final'!$Q$54),"")</f>
        <v/>
      </c>
      <c r="T53" s="64" t="str">
        <f>IF(AND('Mapa final'!$AA$55="Muy Baja",'Mapa final'!$AC$55="Menor"),CONCATENATE("R8C",'Mapa final'!$Q$55),"")</f>
        <v/>
      </c>
      <c r="U53" s="65" t="str">
        <f>IF(AND('Mapa final'!$AA$56="Muy Baja",'Mapa final'!$AC$56="Menor"),CONCATENATE("R8C",'Mapa final'!$Q$56),"")</f>
        <v/>
      </c>
      <c r="V53" s="54" t="str">
        <f>IF(AND('Mapa final'!$AA$51="Muy Baja",'Mapa final'!$AC$51="Moderado"),CONCATENATE("R8C",'Mapa final'!$Q$51),"")</f>
        <v/>
      </c>
      <c r="W53" s="55" t="str">
        <f>IF(AND('Mapa final'!$AA$52="Muy Baja",'Mapa final'!$AC$52="Moderado"),CONCATENATE("R8C",'Mapa final'!$Q$52),"")</f>
        <v/>
      </c>
      <c r="X53" s="55" t="str">
        <f>IF(AND('Mapa final'!$AA$53="Muy Baja",'Mapa final'!$AC$53="Moderado"),CONCATENATE("R8C",'Mapa final'!$Q$53),"")</f>
        <v/>
      </c>
      <c r="Y53" s="55" t="str">
        <f>IF(AND('Mapa final'!$AA$54="Muy Baja",'Mapa final'!$AC$54="Moderado"),CONCATENATE("R8C",'Mapa final'!$Q$54),"")</f>
        <v/>
      </c>
      <c r="Z53" s="55" t="str">
        <f>IF(AND('Mapa final'!$AA$55="Muy Baja",'Mapa final'!$AC$55="Moderado"),CONCATENATE("R8C",'Mapa final'!$Q$55),"")</f>
        <v/>
      </c>
      <c r="AA53" s="56" t="str">
        <f>IF(AND('Mapa final'!$AA$56="Muy Baja",'Mapa final'!$AC$56="Moderado"),CONCATENATE("R8C",'Mapa final'!$Q$56),"")</f>
        <v/>
      </c>
      <c r="AB53" s="38" t="str">
        <f>IF(AND('Mapa final'!$AA$51="Muy Baja",'Mapa final'!$AC$51="Mayor"),CONCATENATE("R8C",'Mapa final'!$Q$51),"")</f>
        <v/>
      </c>
      <c r="AC53" s="39" t="str">
        <f>IF(AND('Mapa final'!$AA$52="Muy Baja",'Mapa final'!$AC$52="Mayor"),CONCATENATE("R8C",'Mapa final'!$Q$52),"")</f>
        <v/>
      </c>
      <c r="AD53" s="44" t="str">
        <f>IF(AND('Mapa final'!$AA$53="Muy Baja",'Mapa final'!$AC$53="Mayor"),CONCATENATE("R8C",'Mapa final'!$Q$53),"")</f>
        <v/>
      </c>
      <c r="AE53" s="44" t="str">
        <f>IF(AND('Mapa final'!$AA$54="Muy Baja",'Mapa final'!$AC$54="Mayor"),CONCATENATE("R8C",'Mapa final'!$Q$54),"")</f>
        <v/>
      </c>
      <c r="AF53" s="44" t="str">
        <f>IF(AND('Mapa final'!$AA$55="Muy Baja",'Mapa final'!$AC$55="Mayor"),CONCATENATE("R8C",'Mapa final'!$Q$55),"")</f>
        <v/>
      </c>
      <c r="AG53" s="40" t="str">
        <f>IF(AND('Mapa final'!$AA$56="Muy Baja",'Mapa final'!$AC$56="Mayor"),CONCATENATE("R8C",'Mapa final'!$Q$56),"")</f>
        <v/>
      </c>
      <c r="AH53" s="41" t="str">
        <f>IF(AND('Mapa final'!$AA$51="Muy Baja",'Mapa final'!$AC$51="Catastrófico"),CONCATENATE("R8C",'Mapa final'!$Q$51),"")</f>
        <v/>
      </c>
      <c r="AI53" s="42" t="str">
        <f>IF(AND('Mapa final'!$AA$52="Muy Baja",'Mapa final'!$AC$52="Catastrófico"),CONCATENATE("R8C",'Mapa final'!$Q$52),"")</f>
        <v/>
      </c>
      <c r="AJ53" s="42" t="str">
        <f>IF(AND('Mapa final'!$AA$53="Muy Baja",'Mapa final'!$AC$53="Catastrófico"),CONCATENATE("R8C",'Mapa final'!$Q$53),"")</f>
        <v/>
      </c>
      <c r="AK53" s="42" t="str">
        <f>IF(AND('Mapa final'!$AA$54="Muy Baja",'Mapa final'!$AC$54="Catastrófico"),CONCATENATE("R8C",'Mapa final'!$Q$54),"")</f>
        <v/>
      </c>
      <c r="AL53" s="42" t="str">
        <f>IF(AND('Mapa final'!$AA$55="Muy Baja",'Mapa final'!$AC$55="Catastrófico"),CONCATENATE("R8C",'Mapa final'!$Q$55),"")</f>
        <v/>
      </c>
      <c r="AM53" s="43" t="str">
        <f>IF(AND('Mapa final'!$AA$56="Muy Baja",'Mapa final'!$AC$56="Catastrófico"),CONCATENATE("R8C",'Mapa final'!$Q$56),"")</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39"/>
      <c r="C54" s="239"/>
      <c r="D54" s="240"/>
      <c r="E54" s="340"/>
      <c r="F54" s="341"/>
      <c r="G54" s="341"/>
      <c r="H54" s="341"/>
      <c r="I54" s="356"/>
      <c r="J54" s="63" t="str">
        <f>IF(AND('Mapa final'!$AA$57="Muy Baja",'Mapa final'!$AC$57="Leve"),CONCATENATE("R9C",'Mapa final'!$Q$57),"")</f>
        <v/>
      </c>
      <c r="K54" s="64" t="str">
        <f>IF(AND('Mapa final'!$AA$58="Muy Baja",'Mapa final'!$AC$58="Leve"),CONCATENATE("R9C",'Mapa final'!$Q$58),"")</f>
        <v/>
      </c>
      <c r="L54" s="64" t="str">
        <f>IF(AND('Mapa final'!$AA$59="Muy Baja",'Mapa final'!$AC$59="Leve"),CONCATENATE("R9C",'Mapa final'!$Q$59),"")</f>
        <v/>
      </c>
      <c r="M54" s="64" t="str">
        <f>IF(AND('Mapa final'!$AA$60="Muy Baja",'Mapa final'!$AC$60="Leve"),CONCATENATE("R9C",'Mapa final'!$Q$60),"")</f>
        <v/>
      </c>
      <c r="N54" s="64" t="str">
        <f>IF(AND('Mapa final'!$AA$61="Muy Baja",'Mapa final'!$AC$61="Leve"),CONCATENATE("R9C",'Mapa final'!$Q$61),"")</f>
        <v/>
      </c>
      <c r="O54" s="65" t="str">
        <f>IF(AND('Mapa final'!$AA$62="Muy Baja",'Mapa final'!$AC$62="Leve"),CONCATENATE("R9C",'Mapa final'!$Q$62),"")</f>
        <v/>
      </c>
      <c r="P54" s="63" t="str">
        <f>IF(AND('Mapa final'!$AA$57="Muy Baja",'Mapa final'!$AC$57="Menor"),CONCATENATE("R9C",'Mapa final'!$Q$57),"")</f>
        <v/>
      </c>
      <c r="Q54" s="64" t="str">
        <f>IF(AND('Mapa final'!$AA$58="Muy Baja",'Mapa final'!$AC$58="Menor"),CONCATENATE("R9C",'Mapa final'!$Q$58),"")</f>
        <v/>
      </c>
      <c r="R54" s="64" t="str">
        <f>IF(AND('Mapa final'!$AA$59="Muy Baja",'Mapa final'!$AC$59="Menor"),CONCATENATE("R9C",'Mapa final'!$Q$59),"")</f>
        <v/>
      </c>
      <c r="S54" s="64" t="str">
        <f>IF(AND('Mapa final'!$AA$60="Muy Baja",'Mapa final'!$AC$60="Menor"),CONCATENATE("R9C",'Mapa final'!$Q$60),"")</f>
        <v/>
      </c>
      <c r="T54" s="64" t="str">
        <f>IF(AND('Mapa final'!$AA$61="Muy Baja",'Mapa final'!$AC$61="Menor"),CONCATENATE("R9C",'Mapa final'!$Q$61),"")</f>
        <v/>
      </c>
      <c r="U54" s="65" t="str">
        <f>IF(AND('Mapa final'!$AA$62="Muy Baja",'Mapa final'!$AC$62="Menor"),CONCATENATE("R9C",'Mapa final'!$Q$62),"")</f>
        <v/>
      </c>
      <c r="V54" s="54" t="str">
        <f>IF(AND('Mapa final'!$AA$57="Muy Baja",'Mapa final'!$AC$57="Moderado"),CONCATENATE("R9C",'Mapa final'!$Q$57),"")</f>
        <v/>
      </c>
      <c r="W54" s="55" t="str">
        <f>IF(AND('Mapa final'!$AA$58="Muy Baja",'Mapa final'!$AC$58="Moderado"),CONCATENATE("R9C",'Mapa final'!$Q$58),"")</f>
        <v/>
      </c>
      <c r="X54" s="55" t="str">
        <f>IF(AND('Mapa final'!$AA$59="Muy Baja",'Mapa final'!$AC$59="Moderado"),CONCATENATE("R9C",'Mapa final'!$Q$59),"")</f>
        <v/>
      </c>
      <c r="Y54" s="55" t="str">
        <f>IF(AND('Mapa final'!$AA$60="Muy Baja",'Mapa final'!$AC$60="Moderado"),CONCATENATE("R9C",'Mapa final'!$Q$60),"")</f>
        <v/>
      </c>
      <c r="Z54" s="55" t="str">
        <f>IF(AND('Mapa final'!$AA$61="Muy Baja",'Mapa final'!$AC$61="Moderado"),CONCATENATE("R9C",'Mapa final'!$Q$61),"")</f>
        <v/>
      </c>
      <c r="AA54" s="56" t="str">
        <f>IF(AND('Mapa final'!$AA$62="Muy Baja",'Mapa final'!$AC$62="Moderado"),CONCATENATE("R9C",'Mapa final'!$Q$62),"")</f>
        <v/>
      </c>
      <c r="AB54" s="38" t="str">
        <f>IF(AND('Mapa final'!$AA$57="Muy Baja",'Mapa final'!$AC$57="Mayor"),CONCATENATE("R9C",'Mapa final'!$Q$57),"")</f>
        <v/>
      </c>
      <c r="AC54" s="39" t="str">
        <f>IF(AND('Mapa final'!$AA$58="Muy Baja",'Mapa final'!$AC$58="Mayor"),CONCATENATE("R9C",'Mapa final'!$Q$58),"")</f>
        <v/>
      </c>
      <c r="AD54" s="44" t="str">
        <f>IF(AND('Mapa final'!$AA$59="Muy Baja",'Mapa final'!$AC$59="Mayor"),CONCATENATE("R9C",'Mapa final'!$Q$59),"")</f>
        <v/>
      </c>
      <c r="AE54" s="44" t="str">
        <f>IF(AND('Mapa final'!$AA$60="Muy Baja",'Mapa final'!$AC$60="Mayor"),CONCATENATE("R9C",'Mapa final'!$Q$60),"")</f>
        <v/>
      </c>
      <c r="AF54" s="44" t="str">
        <f>IF(AND('Mapa final'!$AA$61="Muy Baja",'Mapa final'!$AC$61="Mayor"),CONCATENATE("R9C",'Mapa final'!$Q$61),"")</f>
        <v/>
      </c>
      <c r="AG54" s="40" t="str">
        <f>IF(AND('Mapa final'!$AA$62="Muy Baja",'Mapa final'!$AC$62="Mayor"),CONCATENATE("R9C",'Mapa final'!$Q$62),"")</f>
        <v/>
      </c>
      <c r="AH54" s="41" t="str">
        <f>IF(AND('Mapa final'!$AA$57="Muy Baja",'Mapa final'!$AC$57="Catastrófico"),CONCATENATE("R9C",'Mapa final'!$Q$57),"")</f>
        <v/>
      </c>
      <c r="AI54" s="42" t="str">
        <f>IF(AND('Mapa final'!$AA$58="Muy Baja",'Mapa final'!$AC$58="Catastrófico"),CONCATENATE("R9C",'Mapa final'!$Q$58),"")</f>
        <v/>
      </c>
      <c r="AJ54" s="42" t="str">
        <f>IF(AND('Mapa final'!$AA$59="Muy Baja",'Mapa final'!$AC$59="Catastrófico"),CONCATENATE("R9C",'Mapa final'!$Q$59),"")</f>
        <v/>
      </c>
      <c r="AK54" s="42" t="str">
        <f>IF(AND('Mapa final'!$AA$60="Muy Baja",'Mapa final'!$AC$60="Catastrófico"),CONCATENATE("R9C",'Mapa final'!$Q$60),"")</f>
        <v/>
      </c>
      <c r="AL54" s="42" t="str">
        <f>IF(AND('Mapa final'!$AA$61="Muy Baja",'Mapa final'!$AC$61="Catastrófico"),CONCATENATE("R9C",'Mapa final'!$Q$61),"")</f>
        <v/>
      </c>
      <c r="AM54" s="43" t="str">
        <f>IF(AND('Mapa final'!$AA$62="Muy Baja",'Mapa final'!$AC$62="Catastrófico"),CONCATENATE("R9C",'Mapa final'!$Q$62),"")</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39"/>
      <c r="C55" s="239"/>
      <c r="D55" s="240"/>
      <c r="E55" s="342"/>
      <c r="F55" s="343"/>
      <c r="G55" s="343"/>
      <c r="H55" s="343"/>
      <c r="I55" s="357"/>
      <c r="J55" s="66" t="str">
        <f>IF(AND('Mapa final'!$AA$63="Muy Baja",'Mapa final'!$AC$63="Leve"),CONCATENATE("R10C",'Mapa final'!$Q$63),"")</f>
        <v/>
      </c>
      <c r="K55" s="67" t="str">
        <f>IF(AND('Mapa final'!$AA$64="Muy Baja",'Mapa final'!$AC$64="Leve"),CONCATENATE("R10C",'Mapa final'!$Q$64),"")</f>
        <v/>
      </c>
      <c r="L55" s="67" t="str">
        <f>IF(AND('Mapa final'!$AA$65="Muy Baja",'Mapa final'!$AC$65="Leve"),CONCATENATE("R10C",'Mapa final'!$Q$65),"")</f>
        <v/>
      </c>
      <c r="M55" s="67" t="str">
        <f>IF(AND('Mapa final'!$AA$66="Muy Baja",'Mapa final'!$AC$66="Leve"),CONCATENATE("R10C",'Mapa final'!$Q$66),"")</f>
        <v/>
      </c>
      <c r="N55" s="67" t="str">
        <f>IF(AND('Mapa final'!$AA$67="Muy Baja",'Mapa final'!$AC$67="Leve"),CONCATENATE("R10C",'Mapa final'!$Q$67),"")</f>
        <v/>
      </c>
      <c r="O55" s="68" t="str">
        <f>IF(AND('Mapa final'!$AA$68="Muy Baja",'Mapa final'!$AC$68="Leve"),CONCATENATE("R10C",'Mapa final'!$Q$68),"")</f>
        <v/>
      </c>
      <c r="P55" s="66" t="str">
        <f>IF(AND('Mapa final'!$AA$63="Muy Baja",'Mapa final'!$AC$63="Menor"),CONCATENATE("R10C",'Mapa final'!$Q$63),"")</f>
        <v/>
      </c>
      <c r="Q55" s="67" t="str">
        <f>IF(AND('Mapa final'!$AA$64="Muy Baja",'Mapa final'!$AC$64="Menor"),CONCATENATE("R10C",'Mapa final'!$Q$64),"")</f>
        <v/>
      </c>
      <c r="R55" s="67" t="str">
        <f>IF(AND('Mapa final'!$AA$65="Muy Baja",'Mapa final'!$AC$65="Menor"),CONCATENATE("R10C",'Mapa final'!$Q$65),"")</f>
        <v/>
      </c>
      <c r="S55" s="67" t="str">
        <f>IF(AND('Mapa final'!$AA$66="Muy Baja",'Mapa final'!$AC$66="Menor"),CONCATENATE("R10C",'Mapa final'!$Q$66),"")</f>
        <v/>
      </c>
      <c r="T55" s="67" t="str">
        <f>IF(AND('Mapa final'!$AA$67="Muy Baja",'Mapa final'!$AC$67="Menor"),CONCATENATE("R10C",'Mapa final'!$Q$67),"")</f>
        <v/>
      </c>
      <c r="U55" s="68" t="str">
        <f>IF(AND('Mapa final'!$AA$68="Muy Baja",'Mapa final'!$AC$68="Menor"),CONCATENATE("R10C",'Mapa final'!$Q$68),"")</f>
        <v/>
      </c>
      <c r="V55" s="57" t="str">
        <f>IF(AND('Mapa final'!$AA$63="Muy Baja",'Mapa final'!$AC$63="Moderado"),CONCATENATE("R10C",'Mapa final'!$Q$63),"")</f>
        <v/>
      </c>
      <c r="W55" s="58" t="str">
        <f>IF(AND('Mapa final'!$AA$64="Muy Baja",'Mapa final'!$AC$64="Moderado"),CONCATENATE("R10C",'Mapa final'!$Q$64),"")</f>
        <v/>
      </c>
      <c r="X55" s="58" t="str">
        <f>IF(AND('Mapa final'!$AA$65="Muy Baja",'Mapa final'!$AC$65="Moderado"),CONCATENATE("R10C",'Mapa final'!$Q$65),"")</f>
        <v/>
      </c>
      <c r="Y55" s="58" t="str">
        <f>IF(AND('Mapa final'!$AA$66="Muy Baja",'Mapa final'!$AC$66="Moderado"),CONCATENATE("R10C",'Mapa final'!$Q$66),"")</f>
        <v/>
      </c>
      <c r="Z55" s="58" t="str">
        <f>IF(AND('Mapa final'!$AA$67="Muy Baja",'Mapa final'!$AC$67="Moderado"),CONCATENATE("R10C",'Mapa final'!$Q$67),"")</f>
        <v/>
      </c>
      <c r="AA55" s="59" t="str">
        <f>IF(AND('Mapa final'!$AA$68="Muy Baja",'Mapa final'!$AC$68="Moderado"),CONCATENATE("R10C",'Mapa final'!$Q$68),"")</f>
        <v/>
      </c>
      <c r="AB55" s="45" t="str">
        <f>IF(AND('Mapa final'!$AA$63="Muy Baja",'Mapa final'!$AC$63="Mayor"),CONCATENATE("R10C",'Mapa final'!$Q$63),"")</f>
        <v/>
      </c>
      <c r="AC55" s="46" t="str">
        <f>IF(AND('Mapa final'!$AA$64="Muy Baja",'Mapa final'!$AC$64="Mayor"),CONCATENATE("R10C",'Mapa final'!$Q$64),"")</f>
        <v/>
      </c>
      <c r="AD55" s="46" t="str">
        <f>IF(AND('Mapa final'!$AA$65="Muy Baja",'Mapa final'!$AC$65="Mayor"),CONCATENATE("R10C",'Mapa final'!$Q$65),"")</f>
        <v/>
      </c>
      <c r="AE55" s="46" t="str">
        <f>IF(AND('Mapa final'!$AA$66="Muy Baja",'Mapa final'!$AC$66="Mayor"),CONCATENATE("R10C",'Mapa final'!$Q$66),"")</f>
        <v/>
      </c>
      <c r="AF55" s="46" t="str">
        <f>IF(AND('Mapa final'!$AA$67="Muy Baja",'Mapa final'!$AC$67="Mayor"),CONCATENATE("R10C",'Mapa final'!$Q$67),"")</f>
        <v/>
      </c>
      <c r="AG55" s="47" t="str">
        <f>IF(AND('Mapa final'!$AA$68="Muy Baja",'Mapa final'!$AC$68="Mayor"),CONCATENATE("R10C",'Mapa final'!$Q$68),"")</f>
        <v/>
      </c>
      <c r="AH55" s="48" t="str">
        <f>IF(AND('Mapa final'!$AA$63="Muy Baja",'Mapa final'!$AC$63="Catastrófico"),CONCATENATE("R10C",'Mapa final'!$Q$63),"")</f>
        <v/>
      </c>
      <c r="AI55" s="49" t="str">
        <f>IF(AND('Mapa final'!$AA$64="Muy Baja",'Mapa final'!$AC$64="Catastrófico"),CONCATENATE("R10C",'Mapa final'!$Q$64),"")</f>
        <v/>
      </c>
      <c r="AJ55" s="49" t="str">
        <f>IF(AND('Mapa final'!$AA$65="Muy Baja",'Mapa final'!$AC$65="Catastrófico"),CONCATENATE("R10C",'Mapa final'!$Q$65),"")</f>
        <v/>
      </c>
      <c r="AK55" s="49" t="str">
        <f>IF(AND('Mapa final'!$AA$66="Muy Baja",'Mapa final'!$AC$66="Catastrófico"),CONCATENATE("R10C",'Mapa final'!$Q$66),"")</f>
        <v/>
      </c>
      <c r="AL55" s="49" t="str">
        <f>IF(AND('Mapa final'!$AA$67="Muy Baja",'Mapa final'!$AC$67="Catastrófico"),CONCATENATE("R10C",'Mapa final'!$Q$67),"")</f>
        <v/>
      </c>
      <c r="AM55" s="50" t="str">
        <f>IF(AND('Mapa final'!$AA$68="Muy Baja",'Mapa final'!$AC$68="Catastrófico"),CONCATENATE("R10C",'Mapa final'!$Q$68),"")</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36" t="s">
        <v>108</v>
      </c>
      <c r="K56" s="337"/>
      <c r="L56" s="337"/>
      <c r="M56" s="337"/>
      <c r="N56" s="337"/>
      <c r="O56" s="355"/>
      <c r="P56" s="336" t="s">
        <v>107</v>
      </c>
      <c r="Q56" s="337"/>
      <c r="R56" s="337"/>
      <c r="S56" s="337"/>
      <c r="T56" s="337"/>
      <c r="U56" s="355"/>
      <c r="V56" s="336" t="s">
        <v>106</v>
      </c>
      <c r="W56" s="337"/>
      <c r="X56" s="337"/>
      <c r="Y56" s="337"/>
      <c r="Z56" s="337"/>
      <c r="AA56" s="355"/>
      <c r="AB56" s="336" t="s">
        <v>105</v>
      </c>
      <c r="AC56" s="376"/>
      <c r="AD56" s="337"/>
      <c r="AE56" s="337"/>
      <c r="AF56" s="337"/>
      <c r="AG56" s="355"/>
      <c r="AH56" s="336" t="s">
        <v>104</v>
      </c>
      <c r="AI56" s="337"/>
      <c r="AJ56" s="337"/>
      <c r="AK56" s="337"/>
      <c r="AL56" s="337"/>
      <c r="AM56" s="355"/>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40"/>
      <c r="K57" s="341"/>
      <c r="L57" s="341"/>
      <c r="M57" s="341"/>
      <c r="N57" s="341"/>
      <c r="O57" s="356"/>
      <c r="P57" s="340"/>
      <c r="Q57" s="341"/>
      <c r="R57" s="341"/>
      <c r="S57" s="341"/>
      <c r="T57" s="341"/>
      <c r="U57" s="356"/>
      <c r="V57" s="340"/>
      <c r="W57" s="341"/>
      <c r="X57" s="341"/>
      <c r="Y57" s="341"/>
      <c r="Z57" s="341"/>
      <c r="AA57" s="356"/>
      <c r="AB57" s="340"/>
      <c r="AC57" s="341"/>
      <c r="AD57" s="341"/>
      <c r="AE57" s="341"/>
      <c r="AF57" s="341"/>
      <c r="AG57" s="356"/>
      <c r="AH57" s="340"/>
      <c r="AI57" s="341"/>
      <c r="AJ57" s="341"/>
      <c r="AK57" s="341"/>
      <c r="AL57" s="341"/>
      <c r="AM57" s="356"/>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40"/>
      <c r="K58" s="341"/>
      <c r="L58" s="341"/>
      <c r="M58" s="341"/>
      <c r="N58" s="341"/>
      <c r="O58" s="356"/>
      <c r="P58" s="340"/>
      <c r="Q58" s="341"/>
      <c r="R58" s="341"/>
      <c r="S58" s="341"/>
      <c r="T58" s="341"/>
      <c r="U58" s="356"/>
      <c r="V58" s="340"/>
      <c r="W58" s="341"/>
      <c r="X58" s="341"/>
      <c r="Y58" s="341"/>
      <c r="Z58" s="341"/>
      <c r="AA58" s="356"/>
      <c r="AB58" s="340"/>
      <c r="AC58" s="341"/>
      <c r="AD58" s="341"/>
      <c r="AE58" s="341"/>
      <c r="AF58" s="341"/>
      <c r="AG58" s="356"/>
      <c r="AH58" s="340"/>
      <c r="AI58" s="341"/>
      <c r="AJ58" s="341"/>
      <c r="AK58" s="341"/>
      <c r="AL58" s="341"/>
      <c r="AM58" s="356"/>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40"/>
      <c r="K59" s="341"/>
      <c r="L59" s="341"/>
      <c r="M59" s="341"/>
      <c r="N59" s="341"/>
      <c r="O59" s="356"/>
      <c r="P59" s="340"/>
      <c r="Q59" s="341"/>
      <c r="R59" s="341"/>
      <c r="S59" s="341"/>
      <c r="T59" s="341"/>
      <c r="U59" s="356"/>
      <c r="V59" s="340"/>
      <c r="W59" s="341"/>
      <c r="X59" s="341"/>
      <c r="Y59" s="341"/>
      <c r="Z59" s="341"/>
      <c r="AA59" s="356"/>
      <c r="AB59" s="340"/>
      <c r="AC59" s="341"/>
      <c r="AD59" s="341"/>
      <c r="AE59" s="341"/>
      <c r="AF59" s="341"/>
      <c r="AG59" s="356"/>
      <c r="AH59" s="340"/>
      <c r="AI59" s="341"/>
      <c r="AJ59" s="341"/>
      <c r="AK59" s="341"/>
      <c r="AL59" s="341"/>
      <c r="AM59" s="356"/>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40"/>
      <c r="K60" s="341"/>
      <c r="L60" s="341"/>
      <c r="M60" s="341"/>
      <c r="N60" s="341"/>
      <c r="O60" s="356"/>
      <c r="P60" s="340"/>
      <c r="Q60" s="341"/>
      <c r="R60" s="341"/>
      <c r="S60" s="341"/>
      <c r="T60" s="341"/>
      <c r="U60" s="356"/>
      <c r="V60" s="340"/>
      <c r="W60" s="341"/>
      <c r="X60" s="341"/>
      <c r="Y60" s="341"/>
      <c r="Z60" s="341"/>
      <c r="AA60" s="356"/>
      <c r="AB60" s="340"/>
      <c r="AC60" s="341"/>
      <c r="AD60" s="341"/>
      <c r="AE60" s="341"/>
      <c r="AF60" s="341"/>
      <c r="AG60" s="356"/>
      <c r="AH60" s="340"/>
      <c r="AI60" s="341"/>
      <c r="AJ60" s="341"/>
      <c r="AK60" s="341"/>
      <c r="AL60" s="341"/>
      <c r="AM60" s="356"/>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42"/>
      <c r="K61" s="343"/>
      <c r="L61" s="343"/>
      <c r="M61" s="343"/>
      <c r="N61" s="343"/>
      <c r="O61" s="357"/>
      <c r="P61" s="342"/>
      <c r="Q61" s="343"/>
      <c r="R61" s="343"/>
      <c r="S61" s="343"/>
      <c r="T61" s="343"/>
      <c r="U61" s="357"/>
      <c r="V61" s="342"/>
      <c r="W61" s="343"/>
      <c r="X61" s="343"/>
      <c r="Y61" s="343"/>
      <c r="Z61" s="343"/>
      <c r="AA61" s="357"/>
      <c r="AB61" s="342"/>
      <c r="AC61" s="343"/>
      <c r="AD61" s="343"/>
      <c r="AE61" s="343"/>
      <c r="AF61" s="343"/>
      <c r="AG61" s="357"/>
      <c r="AH61" s="342"/>
      <c r="AI61" s="343"/>
      <c r="AJ61" s="343"/>
      <c r="AK61" s="343"/>
      <c r="AL61" s="343"/>
      <c r="AM61" s="357"/>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0"/>
      <c r="B1" s="377" t="s">
        <v>51</v>
      </c>
      <c r="C1" s="377"/>
      <c r="D1" s="377"/>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3"/>
      <c r="C3" s="4" t="s">
        <v>48</v>
      </c>
      <c r="D3" s="4" t="s">
        <v>3</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5" t="s">
        <v>47</v>
      </c>
      <c r="C4" s="6" t="s">
        <v>98</v>
      </c>
      <c r="D4" s="7">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8" t="s">
        <v>49</v>
      </c>
      <c r="C5" s="9" t="s">
        <v>99</v>
      </c>
      <c r="D5" s="10">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1" t="s">
        <v>103</v>
      </c>
      <c r="C6" s="9" t="s">
        <v>100</v>
      </c>
      <c r="D6" s="10">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2" t="s">
        <v>5</v>
      </c>
      <c r="C7" s="9" t="s">
        <v>101</v>
      </c>
      <c r="D7" s="10">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3" t="s">
        <v>50</v>
      </c>
      <c r="C8" s="9" t="s">
        <v>102</v>
      </c>
      <c r="D8" s="10">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2"/>
      <c r="C9" s="92"/>
      <c r="D9" s="92"/>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3"/>
      <c r="C10" s="92"/>
      <c r="D10" s="92"/>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2"/>
      <c r="C11" s="92"/>
      <c r="D11" s="92"/>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2"/>
      <c r="C12" s="92"/>
      <c r="D12" s="92"/>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2"/>
      <c r="C13" s="92"/>
      <c r="D13" s="92"/>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2"/>
      <c r="C14" s="92"/>
      <c r="D14" s="92"/>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2"/>
      <c r="C15" s="92"/>
      <c r="D15" s="92"/>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2"/>
      <c r="C16" s="92"/>
      <c r="D16" s="92"/>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2"/>
      <c r="C17" s="92"/>
      <c r="D17" s="92"/>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2"/>
      <c r="C18" s="92"/>
      <c r="D18" s="92"/>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232"/>
  <sheetViews>
    <sheetView zoomScale="40" zoomScaleNormal="40" workbookViewId="0">
      <selection activeCell="D4" sqref="D4"/>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0"/>
      <c r="B1" s="378" t="s">
        <v>59</v>
      </c>
      <c r="C1" s="378"/>
      <c r="D1" s="378"/>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89"/>
      <c r="C3" s="22" t="s">
        <v>52</v>
      </c>
      <c r="D3" s="22" t="s">
        <v>53</v>
      </c>
      <c r="E3" s="70"/>
      <c r="F3" s="70"/>
      <c r="G3" s="70"/>
      <c r="H3" s="70"/>
      <c r="I3" s="70"/>
      <c r="J3" s="70"/>
      <c r="K3" s="70"/>
      <c r="L3" s="70"/>
      <c r="M3" s="70"/>
      <c r="N3" s="70"/>
      <c r="O3" s="70"/>
      <c r="P3" s="70"/>
      <c r="Q3" s="70"/>
      <c r="R3" s="70"/>
      <c r="S3" s="70"/>
      <c r="T3" s="70"/>
      <c r="U3" s="70"/>
    </row>
    <row r="4" spans="1:21" ht="33.75" x14ac:dyDescent="0.25">
      <c r="A4" s="88" t="s">
        <v>79</v>
      </c>
      <c r="B4" s="25" t="s">
        <v>97</v>
      </c>
      <c r="C4" s="30" t="s">
        <v>151</v>
      </c>
      <c r="D4" s="23" t="s">
        <v>93</v>
      </c>
      <c r="E4" s="70"/>
      <c r="F4" s="70"/>
      <c r="G4" s="70"/>
      <c r="H4" s="70"/>
      <c r="I4" s="70"/>
      <c r="J4" s="70"/>
      <c r="K4" s="70"/>
      <c r="L4" s="70"/>
      <c r="M4" s="70"/>
      <c r="N4" s="70"/>
      <c r="O4" s="70"/>
      <c r="P4" s="70"/>
      <c r="Q4" s="70"/>
      <c r="R4" s="70"/>
      <c r="S4" s="70"/>
      <c r="T4" s="70"/>
      <c r="U4" s="70"/>
    </row>
    <row r="5" spans="1:21" ht="67.5" x14ac:dyDescent="0.25">
      <c r="A5" s="88" t="s">
        <v>80</v>
      </c>
      <c r="B5" s="26" t="s">
        <v>55</v>
      </c>
      <c r="C5" s="31" t="s">
        <v>89</v>
      </c>
      <c r="D5" s="24" t="s">
        <v>94</v>
      </c>
      <c r="E5" s="70"/>
      <c r="F5" s="70"/>
      <c r="G5" s="70"/>
      <c r="H5" s="70"/>
      <c r="I5" s="70"/>
      <c r="J5" s="70"/>
      <c r="K5" s="70"/>
      <c r="L5" s="70"/>
      <c r="M5" s="70"/>
      <c r="N5" s="70"/>
      <c r="O5" s="70"/>
      <c r="P5" s="70"/>
      <c r="Q5" s="70"/>
      <c r="R5" s="70"/>
      <c r="S5" s="70"/>
      <c r="T5" s="70"/>
      <c r="U5" s="70"/>
    </row>
    <row r="6" spans="1:21" ht="67.5" x14ac:dyDescent="0.25">
      <c r="A6" s="88" t="s">
        <v>77</v>
      </c>
      <c r="B6" s="27" t="s">
        <v>56</v>
      </c>
      <c r="C6" s="31" t="s">
        <v>90</v>
      </c>
      <c r="D6" s="24" t="s">
        <v>96</v>
      </c>
      <c r="E6" s="70"/>
      <c r="F6" s="70"/>
      <c r="G6" s="70"/>
      <c r="H6" s="70"/>
      <c r="I6" s="70"/>
      <c r="J6" s="70"/>
      <c r="K6" s="70"/>
      <c r="L6" s="70"/>
      <c r="M6" s="70"/>
      <c r="N6" s="70"/>
      <c r="O6" s="70"/>
      <c r="P6" s="70"/>
      <c r="Q6" s="70"/>
      <c r="R6" s="70"/>
      <c r="S6" s="70"/>
      <c r="T6" s="70"/>
      <c r="U6" s="70"/>
    </row>
    <row r="7" spans="1:21" ht="101.25" x14ac:dyDescent="0.25">
      <c r="A7" s="88" t="s">
        <v>6</v>
      </c>
      <c r="B7" s="28" t="s">
        <v>57</v>
      </c>
      <c r="C7" s="31" t="s">
        <v>91</v>
      </c>
      <c r="D7" s="24" t="s">
        <v>95</v>
      </c>
      <c r="E7" s="70"/>
      <c r="F7" s="70"/>
      <c r="G7" s="70"/>
      <c r="H7" s="70"/>
      <c r="I7" s="70"/>
      <c r="J7" s="70"/>
      <c r="K7" s="70"/>
      <c r="L7" s="70"/>
      <c r="M7" s="70"/>
      <c r="N7" s="70"/>
      <c r="O7" s="70"/>
      <c r="P7" s="70"/>
      <c r="Q7" s="70"/>
      <c r="R7" s="70"/>
      <c r="S7" s="70"/>
      <c r="T7" s="70"/>
      <c r="U7" s="70"/>
    </row>
    <row r="8" spans="1:21" ht="67.5" x14ac:dyDescent="0.25">
      <c r="A8" s="88" t="s">
        <v>81</v>
      </c>
      <c r="B8" s="29" t="s">
        <v>58</v>
      </c>
      <c r="C8" s="31" t="s">
        <v>92</v>
      </c>
      <c r="D8" s="24" t="s">
        <v>114</v>
      </c>
      <c r="E8" s="70"/>
      <c r="F8" s="70"/>
      <c r="G8" s="70"/>
      <c r="H8" s="70"/>
      <c r="I8" s="70"/>
      <c r="J8" s="70"/>
      <c r="K8" s="70"/>
      <c r="L8" s="70"/>
      <c r="M8" s="70"/>
      <c r="N8" s="70"/>
      <c r="O8" s="70"/>
      <c r="P8" s="70"/>
      <c r="Q8" s="70"/>
      <c r="R8" s="70"/>
      <c r="S8" s="70"/>
      <c r="T8" s="70"/>
      <c r="U8" s="70"/>
    </row>
    <row r="9" spans="1:21" ht="20.25" x14ac:dyDescent="0.25">
      <c r="A9" s="88"/>
      <c r="B9" s="88"/>
      <c r="C9" s="90"/>
      <c r="D9" s="90"/>
      <c r="E9" s="70"/>
      <c r="F9" s="70"/>
      <c r="G9" s="70"/>
      <c r="H9" s="70"/>
      <c r="I9" s="70"/>
      <c r="J9" s="70"/>
      <c r="K9" s="70"/>
      <c r="L9" s="70"/>
      <c r="M9" s="70"/>
      <c r="N9" s="70"/>
      <c r="O9" s="70"/>
      <c r="P9" s="70"/>
      <c r="Q9" s="70"/>
      <c r="R9" s="70"/>
      <c r="S9" s="70"/>
      <c r="T9" s="70"/>
      <c r="U9" s="70"/>
    </row>
    <row r="10" spans="1:21" ht="16.5" x14ac:dyDescent="0.25">
      <c r="A10" s="88"/>
      <c r="B10" s="91"/>
      <c r="C10" s="91"/>
      <c r="D10" s="91"/>
      <c r="E10" s="70"/>
      <c r="F10" s="70"/>
      <c r="G10" s="70"/>
      <c r="H10" s="70"/>
      <c r="I10" s="70"/>
      <c r="J10" s="70"/>
      <c r="K10" s="70"/>
      <c r="L10" s="70"/>
      <c r="M10" s="70"/>
      <c r="N10" s="70"/>
      <c r="O10" s="70"/>
      <c r="P10" s="70"/>
      <c r="Q10" s="70"/>
      <c r="R10" s="70"/>
      <c r="S10" s="70"/>
      <c r="T10" s="70"/>
      <c r="U10" s="70"/>
    </row>
    <row r="11" spans="1:21" x14ac:dyDescent="0.25">
      <c r="A11" s="88"/>
      <c r="B11" s="88" t="s">
        <v>87</v>
      </c>
      <c r="C11" s="88" t="s">
        <v>139</v>
      </c>
      <c r="D11" s="88" t="s">
        <v>146</v>
      </c>
      <c r="E11" s="70"/>
      <c r="F11" s="70"/>
      <c r="G11" s="70"/>
      <c r="H11" s="70"/>
      <c r="I11" s="70"/>
      <c r="J11" s="70"/>
      <c r="K11" s="70"/>
      <c r="L11" s="70"/>
      <c r="M11" s="70"/>
      <c r="N11" s="70"/>
      <c r="O11" s="70"/>
      <c r="P11" s="70"/>
      <c r="Q11" s="70"/>
      <c r="R11" s="70"/>
      <c r="S11" s="70"/>
      <c r="T11" s="70"/>
      <c r="U11" s="70"/>
    </row>
    <row r="12" spans="1:21" x14ac:dyDescent="0.25">
      <c r="A12" s="88"/>
      <c r="B12" s="88" t="s">
        <v>85</v>
      </c>
      <c r="C12" s="88" t="s">
        <v>143</v>
      </c>
      <c r="D12" s="88" t="s">
        <v>147</v>
      </c>
      <c r="E12" s="70"/>
      <c r="F12" s="70"/>
      <c r="G12" s="70"/>
      <c r="H12" s="70"/>
      <c r="I12" s="70"/>
      <c r="J12" s="70"/>
      <c r="K12" s="70"/>
      <c r="L12" s="70"/>
      <c r="M12" s="70"/>
      <c r="N12" s="70"/>
      <c r="O12" s="70"/>
      <c r="P12" s="70"/>
      <c r="Q12" s="70"/>
      <c r="R12" s="70"/>
      <c r="S12" s="70"/>
      <c r="T12" s="70"/>
      <c r="U12" s="70"/>
    </row>
    <row r="13" spans="1:21" x14ac:dyDescent="0.25">
      <c r="A13" s="88"/>
      <c r="B13" s="88"/>
      <c r="C13" s="88" t="s">
        <v>142</v>
      </c>
      <c r="D13" s="88" t="s">
        <v>148</v>
      </c>
      <c r="E13" s="70"/>
      <c r="F13" s="70"/>
      <c r="G13" s="70"/>
      <c r="H13" s="70"/>
      <c r="I13" s="70"/>
      <c r="J13" s="70"/>
      <c r="K13" s="70"/>
      <c r="L13" s="70"/>
      <c r="M13" s="70"/>
      <c r="N13" s="70"/>
      <c r="O13" s="70"/>
      <c r="P13" s="70"/>
      <c r="Q13" s="70"/>
      <c r="R13" s="70"/>
      <c r="S13" s="70"/>
      <c r="T13" s="70"/>
      <c r="U13" s="70"/>
    </row>
    <row r="14" spans="1:21" x14ac:dyDescent="0.25">
      <c r="A14" s="88"/>
      <c r="B14" s="88"/>
      <c r="C14" s="88" t="s">
        <v>144</v>
      </c>
      <c r="D14" s="88" t="s">
        <v>149</v>
      </c>
      <c r="E14" s="70"/>
      <c r="F14" s="70"/>
      <c r="G14" s="70"/>
      <c r="H14" s="70"/>
      <c r="I14" s="70"/>
      <c r="J14" s="70"/>
      <c r="K14" s="70"/>
      <c r="L14" s="70"/>
      <c r="M14" s="70"/>
      <c r="N14" s="70"/>
      <c r="O14" s="70"/>
      <c r="P14" s="70"/>
      <c r="Q14" s="70"/>
      <c r="R14" s="70"/>
      <c r="S14" s="70"/>
      <c r="T14" s="70"/>
      <c r="U14" s="70"/>
    </row>
    <row r="15" spans="1:21" x14ac:dyDescent="0.25">
      <c r="A15" s="88"/>
      <c r="B15" s="88"/>
      <c r="C15" s="88" t="s">
        <v>145</v>
      </c>
      <c r="D15" s="88" t="s">
        <v>150</v>
      </c>
      <c r="E15" s="70"/>
      <c r="F15" s="70"/>
      <c r="G15" s="70"/>
      <c r="H15" s="70"/>
      <c r="I15" s="70"/>
      <c r="J15" s="70"/>
      <c r="K15" s="70"/>
      <c r="L15" s="70"/>
      <c r="M15" s="70"/>
      <c r="N15" s="70"/>
      <c r="O15" s="70"/>
      <c r="P15" s="70"/>
      <c r="Q15" s="70"/>
      <c r="R15" s="70"/>
      <c r="S15" s="70"/>
      <c r="T15" s="70"/>
      <c r="U15" s="70"/>
    </row>
    <row r="16" spans="1:21" x14ac:dyDescent="0.25">
      <c r="A16" s="88"/>
      <c r="B16" s="88"/>
      <c r="C16" s="88"/>
      <c r="D16" s="88"/>
      <c r="E16" s="70"/>
      <c r="F16" s="70"/>
      <c r="G16" s="70"/>
      <c r="H16" s="70"/>
      <c r="I16" s="70"/>
      <c r="J16" s="70"/>
      <c r="K16" s="70"/>
      <c r="L16" s="70"/>
      <c r="M16" s="70"/>
      <c r="N16" s="70"/>
      <c r="O16" s="70"/>
    </row>
    <row r="17" spans="1:15" x14ac:dyDescent="0.25">
      <c r="A17" s="88"/>
      <c r="B17" s="88"/>
      <c r="C17" s="88"/>
      <c r="D17" s="88"/>
      <c r="E17" s="70"/>
      <c r="F17" s="70"/>
      <c r="G17" s="70"/>
      <c r="H17" s="70"/>
      <c r="I17" s="70"/>
      <c r="J17" s="70"/>
      <c r="K17" s="70"/>
      <c r="L17" s="70"/>
      <c r="M17" s="70"/>
      <c r="N17" s="70"/>
      <c r="O17" s="70"/>
    </row>
    <row r="18" spans="1:15" x14ac:dyDescent="0.25">
      <c r="A18" s="88"/>
      <c r="B18" s="92"/>
      <c r="C18" s="92"/>
      <c r="D18" s="92"/>
      <c r="E18" s="70"/>
      <c r="F18" s="70"/>
      <c r="G18" s="70"/>
      <c r="H18" s="70"/>
      <c r="I18" s="70"/>
      <c r="J18" s="70"/>
      <c r="K18" s="70"/>
      <c r="L18" s="70"/>
      <c r="M18" s="70"/>
      <c r="N18" s="70"/>
      <c r="O18" s="70"/>
    </row>
    <row r="19" spans="1:15" x14ac:dyDescent="0.25">
      <c r="A19" s="88"/>
      <c r="B19" s="92"/>
      <c r="C19" s="92"/>
      <c r="D19" s="92"/>
      <c r="E19" s="70"/>
      <c r="F19" s="70"/>
      <c r="G19" s="70"/>
      <c r="H19" s="70"/>
      <c r="I19" s="70"/>
      <c r="J19" s="70"/>
      <c r="K19" s="70"/>
      <c r="L19" s="70"/>
      <c r="M19" s="70"/>
      <c r="N19" s="70"/>
      <c r="O19" s="70"/>
    </row>
    <row r="20" spans="1:15" x14ac:dyDescent="0.25">
      <c r="A20" s="88"/>
      <c r="B20" s="92"/>
      <c r="C20" s="92"/>
      <c r="D20" s="92"/>
      <c r="E20" s="70"/>
      <c r="F20" s="70"/>
      <c r="G20" s="70"/>
      <c r="H20" s="70"/>
      <c r="I20" s="70"/>
      <c r="J20" s="70"/>
      <c r="K20" s="70"/>
      <c r="L20" s="70"/>
      <c r="M20" s="70"/>
      <c r="N20" s="70"/>
      <c r="O20" s="70"/>
    </row>
    <row r="21" spans="1:15" x14ac:dyDescent="0.25">
      <c r="A21" s="88"/>
      <c r="B21" s="92"/>
      <c r="C21" s="92"/>
      <c r="D21" s="92"/>
      <c r="E21" s="70"/>
      <c r="F21" s="70"/>
      <c r="G21" s="70"/>
      <c r="H21" s="70"/>
      <c r="I21" s="70"/>
      <c r="J21" s="70"/>
      <c r="K21" s="70"/>
      <c r="L21" s="70"/>
      <c r="M21" s="70"/>
      <c r="N21" s="70"/>
      <c r="O21" s="70"/>
    </row>
    <row r="22" spans="1:15" ht="20.25" x14ac:dyDescent="0.25">
      <c r="A22" s="88"/>
      <c r="B22" s="88"/>
      <c r="C22" s="90"/>
      <c r="D22" s="90"/>
      <c r="E22" s="70"/>
      <c r="F22" s="70"/>
      <c r="G22" s="70"/>
      <c r="H22" s="70"/>
      <c r="I22" s="70"/>
      <c r="J22" s="70"/>
      <c r="K22" s="70"/>
      <c r="L22" s="70"/>
      <c r="M22" s="70"/>
      <c r="N22" s="70"/>
      <c r="O22" s="70"/>
    </row>
    <row r="23" spans="1:15" ht="20.25" x14ac:dyDescent="0.25">
      <c r="A23" s="88"/>
      <c r="B23" s="88"/>
      <c r="C23" s="90"/>
      <c r="D23" s="90"/>
      <c r="E23" s="70"/>
      <c r="F23" s="70"/>
      <c r="G23" s="70"/>
      <c r="H23" s="70"/>
      <c r="I23" s="70"/>
      <c r="J23" s="70"/>
      <c r="K23" s="70"/>
      <c r="L23" s="70"/>
      <c r="M23" s="70"/>
      <c r="N23" s="70"/>
      <c r="O23" s="70"/>
    </row>
    <row r="24" spans="1:15" ht="20.25" x14ac:dyDescent="0.25">
      <c r="A24" s="88"/>
      <c r="B24" s="88"/>
      <c r="C24" s="90"/>
      <c r="D24" s="90"/>
      <c r="E24" s="70"/>
      <c r="F24" s="70"/>
      <c r="G24" s="70"/>
      <c r="H24" s="70"/>
      <c r="I24" s="70"/>
      <c r="J24" s="70"/>
      <c r="K24" s="70"/>
      <c r="L24" s="70"/>
      <c r="M24" s="70"/>
      <c r="N24" s="70"/>
      <c r="O24" s="70"/>
    </row>
    <row r="25" spans="1:15" ht="20.25" x14ac:dyDescent="0.25">
      <c r="A25" s="88"/>
      <c r="B25" s="88"/>
      <c r="C25" s="90"/>
      <c r="D25" s="90"/>
      <c r="E25" s="70"/>
      <c r="F25" s="70"/>
      <c r="G25" s="70"/>
      <c r="H25" s="70"/>
      <c r="I25" s="70"/>
      <c r="J25" s="70"/>
      <c r="K25" s="70"/>
      <c r="L25" s="70"/>
      <c r="M25" s="70"/>
      <c r="N25" s="70"/>
      <c r="O25" s="70"/>
    </row>
    <row r="26" spans="1:15" ht="20.25" x14ac:dyDescent="0.25">
      <c r="A26" s="88"/>
      <c r="B26" s="88"/>
      <c r="C26" s="90"/>
      <c r="D26" s="90"/>
      <c r="E26" s="70"/>
      <c r="F26" s="70"/>
      <c r="G26" s="70"/>
      <c r="H26" s="70"/>
      <c r="I26" s="70"/>
      <c r="J26" s="70"/>
      <c r="K26" s="70"/>
      <c r="L26" s="70"/>
      <c r="M26" s="70"/>
      <c r="N26" s="70"/>
      <c r="O26" s="70"/>
    </row>
    <row r="27" spans="1:15" ht="20.25" x14ac:dyDescent="0.25">
      <c r="A27" s="88"/>
      <c r="B27" s="88"/>
      <c r="C27" s="90"/>
      <c r="D27" s="90"/>
      <c r="E27" s="70"/>
      <c r="F27" s="70"/>
      <c r="G27" s="70"/>
      <c r="H27" s="70"/>
      <c r="I27" s="70"/>
      <c r="J27" s="70"/>
      <c r="K27" s="70"/>
      <c r="L27" s="70"/>
      <c r="M27" s="70"/>
      <c r="N27" s="70"/>
      <c r="O27" s="70"/>
    </row>
    <row r="28" spans="1:15" ht="20.25" x14ac:dyDescent="0.25">
      <c r="A28" s="88"/>
      <c r="B28" s="88"/>
      <c r="C28" s="90"/>
      <c r="D28" s="90"/>
      <c r="E28" s="70"/>
      <c r="F28" s="70"/>
      <c r="G28" s="70"/>
      <c r="H28" s="70"/>
      <c r="I28" s="70"/>
      <c r="J28" s="70"/>
      <c r="K28" s="70"/>
      <c r="L28" s="70"/>
      <c r="M28" s="70"/>
      <c r="N28" s="70"/>
      <c r="O28" s="70"/>
    </row>
    <row r="29" spans="1:15" ht="20.25" x14ac:dyDescent="0.25">
      <c r="A29" s="88"/>
      <c r="B29" s="88"/>
      <c r="C29" s="90"/>
      <c r="D29" s="90"/>
      <c r="E29" s="70"/>
      <c r="F29" s="70"/>
      <c r="G29" s="70"/>
      <c r="H29" s="70"/>
      <c r="I29" s="70"/>
      <c r="J29" s="70"/>
      <c r="K29" s="70"/>
      <c r="L29" s="70"/>
      <c r="M29" s="70"/>
      <c r="N29" s="70"/>
      <c r="O29" s="70"/>
    </row>
    <row r="30" spans="1:15" ht="20.25" x14ac:dyDescent="0.25">
      <c r="A30" s="88"/>
      <c r="B30" s="88"/>
      <c r="C30" s="90"/>
      <c r="D30" s="90"/>
      <c r="E30" s="70"/>
      <c r="F30" s="70"/>
      <c r="G30" s="70"/>
      <c r="H30" s="70"/>
      <c r="I30" s="70"/>
      <c r="J30" s="70"/>
      <c r="K30" s="70"/>
      <c r="L30" s="70"/>
      <c r="M30" s="70"/>
      <c r="N30" s="70"/>
      <c r="O30" s="70"/>
    </row>
    <row r="31" spans="1:15" ht="20.25" x14ac:dyDescent="0.25">
      <c r="A31" s="88"/>
      <c r="B31" s="88"/>
      <c r="C31" s="90"/>
      <c r="D31" s="90"/>
      <c r="E31" s="70"/>
      <c r="F31" s="70"/>
      <c r="G31" s="70"/>
      <c r="H31" s="70"/>
      <c r="I31" s="70"/>
      <c r="J31" s="70"/>
      <c r="K31" s="70"/>
      <c r="L31" s="70"/>
      <c r="M31" s="70"/>
      <c r="N31" s="70"/>
      <c r="O31" s="70"/>
    </row>
    <row r="32" spans="1:15" ht="20.25" x14ac:dyDescent="0.25">
      <c r="A32" s="88"/>
      <c r="B32" s="88"/>
      <c r="C32" s="90"/>
      <c r="D32" s="90"/>
      <c r="E32" s="70"/>
      <c r="F32" s="70"/>
      <c r="G32" s="70"/>
      <c r="H32" s="70"/>
      <c r="I32" s="70"/>
      <c r="J32" s="70"/>
      <c r="K32" s="70"/>
      <c r="L32" s="70"/>
      <c r="M32" s="70"/>
      <c r="N32" s="70"/>
      <c r="O32" s="70"/>
    </row>
    <row r="33" spans="1:15" ht="20.25" x14ac:dyDescent="0.25">
      <c r="A33" s="88"/>
      <c r="B33" s="88"/>
      <c r="C33" s="90"/>
      <c r="D33" s="90"/>
      <c r="E33" s="70"/>
      <c r="F33" s="70"/>
      <c r="G33" s="70"/>
      <c r="H33" s="70"/>
      <c r="I33" s="70"/>
      <c r="J33" s="70"/>
      <c r="K33" s="70"/>
      <c r="L33" s="70"/>
      <c r="M33" s="70"/>
      <c r="N33" s="70"/>
      <c r="O33" s="70"/>
    </row>
    <row r="34" spans="1:15" ht="20.25" x14ac:dyDescent="0.25">
      <c r="A34" s="88"/>
      <c r="B34" s="88"/>
      <c r="C34" s="90"/>
      <c r="D34" s="90"/>
      <c r="E34" s="70"/>
      <c r="F34" s="70"/>
      <c r="G34" s="70"/>
      <c r="H34" s="70"/>
      <c r="I34" s="70"/>
      <c r="J34" s="70"/>
      <c r="K34" s="70"/>
      <c r="L34" s="70"/>
      <c r="M34" s="70"/>
      <c r="N34" s="70"/>
      <c r="O34" s="70"/>
    </row>
    <row r="35" spans="1:15" ht="20.25" x14ac:dyDescent="0.25">
      <c r="A35" s="88"/>
      <c r="B35" s="88"/>
      <c r="C35" s="90"/>
      <c r="D35" s="90"/>
      <c r="E35" s="70"/>
      <c r="F35" s="70"/>
      <c r="G35" s="70"/>
      <c r="H35" s="70"/>
      <c r="I35" s="70"/>
      <c r="J35" s="70"/>
      <c r="K35" s="70"/>
      <c r="L35" s="70"/>
      <c r="M35" s="70"/>
      <c r="N35" s="70"/>
      <c r="O35" s="70"/>
    </row>
    <row r="36" spans="1:15" ht="20.25" x14ac:dyDescent="0.25">
      <c r="A36" s="88"/>
      <c r="B36" s="88"/>
      <c r="C36" s="90"/>
      <c r="D36" s="90"/>
      <c r="E36" s="70"/>
      <c r="F36" s="70"/>
      <c r="G36" s="70"/>
      <c r="H36" s="70"/>
      <c r="I36" s="70"/>
      <c r="J36" s="70"/>
      <c r="K36" s="70"/>
      <c r="L36" s="70"/>
      <c r="M36" s="70"/>
      <c r="N36" s="70"/>
      <c r="O36" s="70"/>
    </row>
    <row r="37" spans="1:15" ht="20.25" x14ac:dyDescent="0.25">
      <c r="A37" s="88"/>
      <c r="B37" s="88"/>
      <c r="C37" s="90"/>
      <c r="D37" s="90"/>
      <c r="E37" s="70"/>
      <c r="F37" s="70"/>
      <c r="G37" s="70"/>
      <c r="H37" s="70"/>
      <c r="I37" s="70"/>
      <c r="J37" s="70"/>
      <c r="K37" s="70"/>
      <c r="L37" s="70"/>
      <c r="M37" s="70"/>
      <c r="N37" s="70"/>
      <c r="O37" s="70"/>
    </row>
    <row r="38" spans="1:15" ht="20.25" x14ac:dyDescent="0.25">
      <c r="A38" s="88"/>
      <c r="B38" s="88"/>
      <c r="C38" s="90"/>
      <c r="D38" s="90"/>
      <c r="E38" s="70"/>
      <c r="F38" s="70"/>
      <c r="G38" s="70"/>
      <c r="H38" s="70"/>
      <c r="I38" s="70"/>
      <c r="J38" s="70"/>
      <c r="K38" s="70"/>
      <c r="L38" s="70"/>
      <c r="M38" s="70"/>
      <c r="N38" s="70"/>
      <c r="O38" s="70"/>
    </row>
    <row r="39" spans="1:15" ht="20.25" x14ac:dyDescent="0.25">
      <c r="A39" s="88"/>
      <c r="B39" s="88"/>
      <c r="C39" s="90"/>
      <c r="D39" s="90"/>
      <c r="E39" s="70"/>
      <c r="F39" s="70"/>
      <c r="G39" s="70"/>
      <c r="H39" s="70"/>
      <c r="I39" s="70"/>
      <c r="J39" s="70"/>
      <c r="K39" s="70"/>
      <c r="L39" s="70"/>
      <c r="M39" s="70"/>
      <c r="N39" s="70"/>
      <c r="O39" s="70"/>
    </row>
    <row r="40" spans="1:15" ht="20.25" x14ac:dyDescent="0.25">
      <c r="A40" s="88"/>
      <c r="B40" s="88"/>
      <c r="C40" s="90"/>
      <c r="D40" s="90"/>
      <c r="E40" s="70"/>
      <c r="F40" s="70"/>
      <c r="G40" s="70"/>
      <c r="H40" s="70"/>
      <c r="I40" s="70"/>
      <c r="J40" s="70"/>
      <c r="K40" s="70"/>
      <c r="L40" s="70"/>
      <c r="M40" s="70"/>
      <c r="N40" s="70"/>
      <c r="O40" s="70"/>
    </row>
    <row r="41" spans="1:15" ht="20.25" x14ac:dyDescent="0.25">
      <c r="A41" s="88"/>
      <c r="B41" s="88"/>
      <c r="C41" s="90"/>
      <c r="D41" s="90"/>
      <c r="E41" s="70"/>
      <c r="F41" s="70"/>
      <c r="G41" s="70"/>
      <c r="H41" s="70"/>
      <c r="I41" s="70"/>
      <c r="J41" s="70"/>
      <c r="K41" s="70"/>
      <c r="L41" s="70"/>
      <c r="M41" s="70"/>
      <c r="N41" s="70"/>
      <c r="O41" s="70"/>
    </row>
    <row r="42" spans="1:15" ht="20.25" x14ac:dyDescent="0.25">
      <c r="A42" s="88"/>
      <c r="B42" s="88"/>
      <c r="C42" s="90"/>
      <c r="D42" s="90"/>
      <c r="E42" s="70"/>
      <c r="F42" s="70"/>
      <c r="G42" s="70"/>
      <c r="H42" s="70"/>
      <c r="I42" s="70"/>
      <c r="J42" s="70"/>
      <c r="K42" s="70"/>
      <c r="L42" s="70"/>
      <c r="M42" s="70"/>
      <c r="N42" s="70"/>
      <c r="O42" s="70"/>
    </row>
    <row r="43" spans="1:15" ht="20.25" x14ac:dyDescent="0.25">
      <c r="A43" s="88"/>
      <c r="B43" s="88"/>
      <c r="C43" s="90"/>
      <c r="D43" s="90"/>
      <c r="E43" s="70"/>
      <c r="F43" s="70"/>
      <c r="G43" s="70"/>
      <c r="H43" s="70"/>
      <c r="I43" s="70"/>
      <c r="J43" s="70"/>
      <c r="K43" s="70"/>
      <c r="L43" s="70"/>
      <c r="M43" s="70"/>
      <c r="N43" s="70"/>
      <c r="O43" s="70"/>
    </row>
    <row r="44" spans="1:15" ht="20.25" x14ac:dyDescent="0.25">
      <c r="A44" s="88"/>
      <c r="B44" s="88"/>
      <c r="C44" s="90"/>
      <c r="D44" s="90"/>
      <c r="E44" s="70"/>
      <c r="F44" s="70"/>
      <c r="G44" s="70"/>
      <c r="H44" s="70"/>
      <c r="I44" s="70"/>
      <c r="J44" s="70"/>
      <c r="K44" s="70"/>
      <c r="L44" s="70"/>
      <c r="M44" s="70"/>
      <c r="N44" s="70"/>
      <c r="O44" s="70"/>
    </row>
    <row r="45" spans="1:15" ht="20.25" x14ac:dyDescent="0.25">
      <c r="A45" s="88"/>
      <c r="B45" s="88"/>
      <c r="C45" s="90"/>
      <c r="D45" s="90"/>
      <c r="E45" s="70"/>
      <c r="F45" s="70"/>
      <c r="G45" s="70"/>
      <c r="H45" s="70"/>
      <c r="I45" s="70"/>
      <c r="J45" s="70"/>
      <c r="K45" s="70"/>
      <c r="L45" s="70"/>
      <c r="M45" s="70"/>
      <c r="N45" s="70"/>
      <c r="O45" s="70"/>
    </row>
    <row r="46" spans="1:15" ht="20.25" x14ac:dyDescent="0.25">
      <c r="A46" s="88"/>
      <c r="B46" s="88"/>
      <c r="C46" s="90"/>
      <c r="D46" s="90"/>
      <c r="E46" s="70"/>
      <c r="F46" s="70"/>
      <c r="G46" s="70"/>
      <c r="H46" s="70"/>
      <c r="I46" s="70"/>
      <c r="J46" s="70"/>
      <c r="K46" s="70"/>
      <c r="L46" s="70"/>
      <c r="M46" s="70"/>
      <c r="N46" s="70"/>
      <c r="O46" s="70"/>
    </row>
    <row r="47" spans="1:15" ht="20.25" x14ac:dyDescent="0.25">
      <c r="A47" s="88"/>
      <c r="B47" s="88"/>
      <c r="C47" s="90"/>
      <c r="D47" s="90"/>
      <c r="E47" s="70"/>
      <c r="F47" s="70"/>
      <c r="G47" s="70"/>
      <c r="H47" s="70"/>
      <c r="I47" s="70"/>
      <c r="J47" s="70"/>
      <c r="K47" s="70"/>
      <c r="L47" s="70"/>
      <c r="M47" s="70"/>
      <c r="N47" s="70"/>
      <c r="O47" s="70"/>
    </row>
    <row r="48" spans="1:15" ht="20.25" x14ac:dyDescent="0.25">
      <c r="A48" s="88"/>
      <c r="B48" s="88"/>
      <c r="C48" s="90"/>
      <c r="D48" s="90"/>
      <c r="E48" s="70"/>
      <c r="F48" s="70"/>
      <c r="G48" s="70"/>
      <c r="H48" s="70"/>
      <c r="I48" s="70"/>
      <c r="J48" s="70"/>
      <c r="K48" s="70"/>
      <c r="L48" s="70"/>
      <c r="M48" s="70"/>
      <c r="N48" s="70"/>
      <c r="O48" s="70"/>
    </row>
    <row r="49" spans="1:15" ht="20.25" x14ac:dyDescent="0.25">
      <c r="A49" s="88"/>
      <c r="B49" s="88"/>
      <c r="C49" s="90"/>
      <c r="D49" s="90"/>
      <c r="E49" s="70"/>
      <c r="F49" s="70"/>
      <c r="G49" s="70"/>
      <c r="H49" s="70"/>
      <c r="I49" s="70"/>
      <c r="J49" s="70"/>
      <c r="K49" s="70"/>
      <c r="L49" s="70"/>
      <c r="M49" s="70"/>
      <c r="N49" s="70"/>
      <c r="O49" s="70"/>
    </row>
    <row r="50" spans="1:15" ht="20.25" x14ac:dyDescent="0.25">
      <c r="A50" s="88"/>
      <c r="B50" s="88"/>
      <c r="C50" s="90"/>
      <c r="D50" s="90"/>
      <c r="E50" s="70"/>
      <c r="F50" s="70"/>
      <c r="G50" s="70"/>
      <c r="H50" s="70"/>
      <c r="I50" s="70"/>
      <c r="J50" s="70"/>
      <c r="K50" s="70"/>
      <c r="L50" s="70"/>
      <c r="M50" s="70"/>
      <c r="N50" s="70"/>
      <c r="O50" s="70"/>
    </row>
    <row r="51" spans="1:15" ht="20.25" x14ac:dyDescent="0.25">
      <c r="A51" s="88"/>
      <c r="B51" s="88"/>
      <c r="C51" s="90"/>
      <c r="D51" s="90"/>
      <c r="E51" s="70"/>
      <c r="F51" s="70"/>
      <c r="G51" s="70"/>
      <c r="H51" s="70"/>
      <c r="I51" s="70"/>
      <c r="J51" s="70"/>
      <c r="K51" s="70"/>
      <c r="L51" s="70"/>
      <c r="M51" s="70"/>
      <c r="N51" s="70"/>
      <c r="O51" s="70"/>
    </row>
    <row r="52" spans="1:15" ht="20.25" x14ac:dyDescent="0.25">
      <c r="A52" s="88"/>
      <c r="B52" s="15"/>
      <c r="C52" s="20"/>
      <c r="D52" s="20"/>
    </row>
    <row r="53" spans="1:15" ht="20.25" x14ac:dyDescent="0.25">
      <c r="A53" s="88"/>
      <c r="B53" s="15"/>
      <c r="C53" s="20"/>
      <c r="D53" s="20"/>
    </row>
    <row r="54" spans="1:15" ht="20.25" x14ac:dyDescent="0.25">
      <c r="A54" s="88"/>
      <c r="B54" s="15"/>
      <c r="C54" s="20"/>
      <c r="D54" s="20"/>
    </row>
    <row r="55" spans="1:15" ht="20.25" x14ac:dyDescent="0.25">
      <c r="A55" s="88"/>
      <c r="B55" s="15"/>
      <c r="C55" s="20"/>
      <c r="D55" s="20"/>
    </row>
    <row r="56" spans="1:15" ht="20.25" x14ac:dyDescent="0.25">
      <c r="A56" s="88"/>
      <c r="B56" s="15"/>
      <c r="C56" s="20"/>
      <c r="D56" s="20"/>
    </row>
    <row r="57" spans="1:15" ht="20.25" x14ac:dyDescent="0.25">
      <c r="A57" s="88"/>
      <c r="B57" s="15"/>
      <c r="C57" s="20"/>
      <c r="D57" s="20"/>
    </row>
    <row r="58" spans="1:15" ht="20.25" x14ac:dyDescent="0.25">
      <c r="A58" s="88"/>
      <c r="B58" s="15"/>
      <c r="C58" s="20"/>
      <c r="D58" s="20"/>
    </row>
    <row r="59" spans="1:15" ht="20.25" x14ac:dyDescent="0.25">
      <c r="A59" s="88"/>
      <c r="B59" s="15"/>
      <c r="C59" s="20"/>
      <c r="D59" s="20"/>
    </row>
    <row r="60" spans="1:15" ht="20.25" x14ac:dyDescent="0.25">
      <c r="A60" s="88"/>
      <c r="B60" s="15"/>
      <c r="C60" s="20"/>
      <c r="D60" s="20"/>
    </row>
    <row r="61" spans="1:15" ht="20.25" x14ac:dyDescent="0.25">
      <c r="A61" s="88"/>
      <c r="B61" s="15"/>
      <c r="C61" s="20"/>
      <c r="D61" s="20"/>
    </row>
    <row r="62" spans="1:15" ht="20.25" x14ac:dyDescent="0.25">
      <c r="A62" s="88"/>
      <c r="B62" s="15"/>
      <c r="C62" s="20"/>
      <c r="D62" s="20"/>
    </row>
    <row r="63" spans="1:15" ht="20.25" x14ac:dyDescent="0.25">
      <c r="A63" s="88"/>
      <c r="B63" s="15"/>
      <c r="C63" s="20"/>
      <c r="D63" s="20"/>
    </row>
    <row r="64" spans="1:15" ht="20.25" x14ac:dyDescent="0.25">
      <c r="A64" s="88"/>
      <c r="B64" s="15"/>
      <c r="C64" s="20"/>
      <c r="D64" s="20"/>
    </row>
    <row r="65" spans="1:4" ht="20.25" x14ac:dyDescent="0.25">
      <c r="A65" s="88"/>
      <c r="B65" s="15"/>
      <c r="C65" s="20"/>
      <c r="D65" s="20"/>
    </row>
    <row r="66" spans="1:4" ht="20.25" x14ac:dyDescent="0.25">
      <c r="A66" s="88"/>
      <c r="B66" s="15"/>
      <c r="C66" s="20"/>
      <c r="D66" s="20"/>
    </row>
    <row r="67" spans="1:4" ht="20.25" x14ac:dyDescent="0.25">
      <c r="A67" s="88"/>
      <c r="B67" s="15"/>
      <c r="C67" s="20"/>
      <c r="D67" s="20"/>
    </row>
    <row r="68" spans="1:4" ht="20.25" x14ac:dyDescent="0.25">
      <c r="A68" s="88"/>
      <c r="B68" s="15"/>
      <c r="C68" s="20"/>
      <c r="D68" s="20"/>
    </row>
    <row r="69" spans="1:4" ht="20.25" x14ac:dyDescent="0.25">
      <c r="A69" s="88"/>
      <c r="B69" s="15"/>
      <c r="C69" s="20"/>
      <c r="D69" s="20"/>
    </row>
    <row r="70" spans="1:4" ht="20.25" x14ac:dyDescent="0.25">
      <c r="A70" s="88"/>
      <c r="B70" s="15"/>
      <c r="C70" s="20"/>
      <c r="D70" s="20"/>
    </row>
    <row r="71" spans="1:4" ht="20.25" x14ac:dyDescent="0.25">
      <c r="A71" s="88"/>
      <c r="B71" s="15"/>
      <c r="C71" s="20"/>
      <c r="D71" s="20"/>
    </row>
    <row r="72" spans="1:4" ht="20.25" x14ac:dyDescent="0.25">
      <c r="A72" s="88"/>
      <c r="B72" s="15"/>
      <c r="C72" s="20"/>
      <c r="D72" s="20"/>
    </row>
    <row r="73" spans="1:4" ht="20.25" x14ac:dyDescent="0.25">
      <c r="A73" s="88"/>
      <c r="B73" s="15"/>
      <c r="C73" s="20"/>
      <c r="D73" s="20"/>
    </row>
    <row r="74" spans="1:4" ht="20.25" x14ac:dyDescent="0.25">
      <c r="A74" s="88"/>
      <c r="B74" s="15"/>
      <c r="C74" s="20"/>
      <c r="D74" s="20"/>
    </row>
    <row r="75" spans="1:4" ht="20.25" x14ac:dyDescent="0.25">
      <c r="A75" s="88"/>
      <c r="B75" s="15"/>
      <c r="C75" s="20"/>
      <c r="D75" s="20"/>
    </row>
    <row r="76" spans="1:4" ht="20.25" x14ac:dyDescent="0.25">
      <c r="A76" s="88"/>
      <c r="B76" s="15"/>
      <c r="C76" s="20"/>
      <c r="D76" s="20"/>
    </row>
    <row r="77" spans="1:4" ht="20.25" x14ac:dyDescent="0.25">
      <c r="A77" s="88"/>
      <c r="B77" s="15"/>
      <c r="C77" s="20"/>
      <c r="D77" s="20"/>
    </row>
    <row r="78" spans="1:4" ht="20.25" x14ac:dyDescent="0.25">
      <c r="A78" s="88"/>
      <c r="B78" s="15"/>
      <c r="C78" s="20"/>
      <c r="D78" s="20"/>
    </row>
    <row r="79" spans="1:4" ht="20.25" x14ac:dyDescent="0.25">
      <c r="A79" s="88"/>
      <c r="B79" s="15"/>
      <c r="C79" s="20"/>
      <c r="D79" s="20"/>
    </row>
    <row r="80" spans="1:4" ht="20.25" x14ac:dyDescent="0.25">
      <c r="A80" s="88"/>
      <c r="B80" s="15"/>
      <c r="C80" s="20"/>
      <c r="D80" s="20"/>
    </row>
    <row r="81" spans="1:4" ht="20.25" x14ac:dyDescent="0.25">
      <c r="A81" s="88"/>
      <c r="B81" s="15"/>
      <c r="C81" s="20"/>
      <c r="D81" s="20"/>
    </row>
    <row r="82" spans="1:4" ht="20.25" x14ac:dyDescent="0.25">
      <c r="A82" s="88"/>
      <c r="B82" s="15"/>
      <c r="C82" s="20"/>
      <c r="D82" s="20"/>
    </row>
    <row r="83" spans="1:4" ht="20.25" x14ac:dyDescent="0.25">
      <c r="A83" s="88"/>
      <c r="B83" s="15"/>
      <c r="C83" s="20"/>
      <c r="D83" s="20"/>
    </row>
    <row r="84" spans="1:4" ht="20.25" x14ac:dyDescent="0.25">
      <c r="A84" s="88"/>
      <c r="B84" s="15"/>
      <c r="C84" s="20"/>
      <c r="D84" s="20"/>
    </row>
    <row r="85" spans="1:4" ht="20.25" x14ac:dyDescent="0.25">
      <c r="A85" s="88"/>
      <c r="B85" s="15"/>
      <c r="C85" s="20"/>
      <c r="D85" s="20"/>
    </row>
    <row r="86" spans="1:4" ht="20.25" x14ac:dyDescent="0.25">
      <c r="A86" s="88"/>
      <c r="B86" s="15"/>
      <c r="C86" s="20"/>
      <c r="D86" s="20"/>
    </row>
    <row r="87" spans="1:4" ht="20.25" x14ac:dyDescent="0.25">
      <c r="A87" s="88"/>
      <c r="B87" s="15"/>
      <c r="C87" s="20"/>
      <c r="D87" s="20"/>
    </row>
    <row r="88" spans="1:4" ht="20.25" x14ac:dyDescent="0.25">
      <c r="A88" s="88"/>
      <c r="B88" s="15"/>
      <c r="C88" s="20"/>
      <c r="D88" s="20"/>
    </row>
    <row r="89" spans="1:4" ht="20.25" x14ac:dyDescent="0.25">
      <c r="A89" s="88"/>
      <c r="B89" s="15"/>
      <c r="C89" s="20"/>
      <c r="D89" s="20"/>
    </row>
    <row r="90" spans="1:4" ht="20.25" x14ac:dyDescent="0.25">
      <c r="A90" s="88"/>
      <c r="B90" s="15"/>
      <c r="C90" s="20"/>
      <c r="D90" s="20"/>
    </row>
    <row r="91" spans="1:4" ht="20.25" x14ac:dyDescent="0.25">
      <c r="A91" s="88"/>
      <c r="B91" s="15"/>
      <c r="C91" s="20"/>
      <c r="D91" s="20"/>
    </row>
    <row r="92" spans="1:4" ht="20.25" x14ac:dyDescent="0.25">
      <c r="A92" s="88"/>
      <c r="B92" s="15"/>
      <c r="C92" s="20"/>
      <c r="D92" s="20"/>
    </row>
    <row r="93" spans="1:4" ht="20.25" x14ac:dyDescent="0.25">
      <c r="A93" s="88"/>
      <c r="B93" s="15"/>
      <c r="C93" s="20"/>
      <c r="D93" s="20"/>
    </row>
    <row r="94" spans="1:4" ht="20.25" x14ac:dyDescent="0.25">
      <c r="A94" s="88"/>
      <c r="B94" s="15"/>
      <c r="C94" s="20"/>
      <c r="D94" s="20"/>
    </row>
    <row r="95" spans="1:4" ht="20.25" x14ac:dyDescent="0.25">
      <c r="A95" s="88"/>
      <c r="B95" s="15"/>
      <c r="C95" s="20"/>
      <c r="D95" s="20"/>
    </row>
    <row r="96" spans="1:4" ht="20.25" x14ac:dyDescent="0.25">
      <c r="A96" s="88"/>
      <c r="B96" s="15"/>
      <c r="C96" s="20"/>
      <c r="D96" s="20"/>
    </row>
    <row r="97" spans="1:4" ht="20.25" x14ac:dyDescent="0.25">
      <c r="A97" s="88"/>
      <c r="B97" s="15"/>
      <c r="C97" s="20"/>
      <c r="D97" s="20"/>
    </row>
    <row r="98" spans="1:4" ht="20.25" x14ac:dyDescent="0.25">
      <c r="A98" s="88"/>
      <c r="B98" s="15"/>
      <c r="C98" s="20"/>
      <c r="D98" s="20"/>
    </row>
    <row r="99" spans="1:4" ht="20.25" x14ac:dyDescent="0.25">
      <c r="A99" s="88"/>
      <c r="B99" s="15"/>
      <c r="C99" s="20"/>
      <c r="D99" s="20"/>
    </row>
    <row r="100" spans="1:4" ht="20.25" x14ac:dyDescent="0.25">
      <c r="A100" s="88"/>
      <c r="B100" s="15"/>
      <c r="C100" s="20"/>
      <c r="D100" s="20"/>
    </row>
    <row r="101" spans="1:4" ht="20.25" x14ac:dyDescent="0.25">
      <c r="A101" s="88"/>
      <c r="B101" s="15"/>
      <c r="C101" s="20"/>
      <c r="D101" s="20"/>
    </row>
    <row r="102" spans="1:4" ht="20.25" x14ac:dyDescent="0.25">
      <c r="A102" s="88"/>
      <c r="B102" s="15"/>
      <c r="C102" s="20"/>
      <c r="D102" s="20"/>
    </row>
    <row r="103" spans="1:4" ht="20.25" x14ac:dyDescent="0.25">
      <c r="A103" s="88"/>
      <c r="B103" s="15"/>
      <c r="C103" s="20"/>
      <c r="D103" s="20"/>
    </row>
    <row r="104" spans="1:4" ht="20.25" x14ac:dyDescent="0.25">
      <c r="A104" s="88"/>
      <c r="B104" s="15"/>
      <c r="C104" s="20"/>
      <c r="D104" s="20"/>
    </row>
    <row r="105" spans="1:4" ht="20.25" x14ac:dyDescent="0.25">
      <c r="A105" s="88"/>
      <c r="B105" s="15"/>
      <c r="C105" s="20"/>
      <c r="D105" s="20"/>
    </row>
    <row r="106" spans="1:4" ht="20.25" x14ac:dyDescent="0.25">
      <c r="A106" s="88"/>
      <c r="B106" s="15"/>
      <c r="C106" s="20"/>
      <c r="D106" s="20"/>
    </row>
    <row r="107" spans="1:4" ht="20.25" x14ac:dyDescent="0.25">
      <c r="A107" s="88"/>
      <c r="B107" s="15"/>
      <c r="C107" s="20"/>
      <c r="D107" s="20"/>
    </row>
    <row r="108" spans="1:4" ht="20.25" x14ac:dyDescent="0.25">
      <c r="A108" s="88"/>
      <c r="B108" s="15"/>
      <c r="C108" s="20"/>
      <c r="D108" s="20"/>
    </row>
    <row r="109" spans="1:4" ht="20.25" x14ac:dyDescent="0.25">
      <c r="A109" s="88"/>
      <c r="B109" s="15"/>
      <c r="C109" s="20"/>
      <c r="D109" s="20"/>
    </row>
    <row r="110" spans="1:4" ht="20.25" x14ac:dyDescent="0.25">
      <c r="A110" s="88"/>
      <c r="B110" s="15"/>
      <c r="C110" s="20"/>
      <c r="D110" s="20"/>
    </row>
    <row r="111" spans="1:4" ht="20.25" x14ac:dyDescent="0.25">
      <c r="A111" s="88"/>
      <c r="B111" s="15"/>
      <c r="C111" s="20"/>
      <c r="D111" s="20"/>
    </row>
    <row r="112" spans="1:4" ht="20.25" x14ac:dyDescent="0.25">
      <c r="A112" s="88"/>
      <c r="B112" s="15"/>
      <c r="C112" s="20"/>
      <c r="D112" s="20"/>
    </row>
    <row r="113" spans="1:4" ht="20.25" x14ac:dyDescent="0.25">
      <c r="A113" s="88"/>
      <c r="B113" s="15"/>
      <c r="C113" s="20"/>
      <c r="D113" s="20"/>
    </row>
    <row r="114" spans="1:4" ht="20.25" x14ac:dyDescent="0.25">
      <c r="A114" s="88"/>
      <c r="B114" s="15"/>
      <c r="C114" s="20"/>
      <c r="D114" s="20"/>
    </row>
    <row r="115" spans="1:4" ht="20.25" x14ac:dyDescent="0.25">
      <c r="A115" s="88"/>
      <c r="B115" s="15"/>
      <c r="C115" s="20"/>
      <c r="D115" s="20"/>
    </row>
    <row r="116" spans="1:4" ht="20.25" x14ac:dyDescent="0.25">
      <c r="A116" s="88"/>
      <c r="B116" s="15"/>
      <c r="C116" s="20"/>
      <c r="D116" s="20"/>
    </row>
    <row r="117" spans="1:4" ht="20.25" x14ac:dyDescent="0.25">
      <c r="A117" s="88"/>
      <c r="B117" s="15"/>
      <c r="C117" s="20"/>
      <c r="D117" s="20"/>
    </row>
    <row r="118" spans="1:4" ht="20.25" x14ac:dyDescent="0.25">
      <c r="A118" s="88"/>
      <c r="B118" s="15"/>
      <c r="C118" s="20"/>
      <c r="D118" s="20"/>
    </row>
    <row r="119" spans="1:4" ht="20.25" x14ac:dyDescent="0.25">
      <c r="A119" s="88"/>
      <c r="B119" s="15"/>
      <c r="C119" s="20"/>
      <c r="D119" s="20"/>
    </row>
    <row r="120" spans="1:4" ht="20.25" x14ac:dyDescent="0.25">
      <c r="A120" s="88"/>
      <c r="B120" s="15"/>
      <c r="C120" s="20"/>
      <c r="D120" s="20"/>
    </row>
    <row r="121" spans="1:4" ht="20.25" x14ac:dyDescent="0.25">
      <c r="A121" s="88"/>
      <c r="B121" s="15"/>
      <c r="C121" s="20"/>
      <c r="D121" s="20"/>
    </row>
    <row r="122" spans="1:4" ht="20.25" x14ac:dyDescent="0.25">
      <c r="A122" s="88"/>
      <c r="B122" s="15"/>
      <c r="C122" s="20"/>
      <c r="D122" s="20"/>
    </row>
    <row r="123" spans="1:4" ht="20.25" x14ac:dyDescent="0.25">
      <c r="A123" s="88"/>
      <c r="B123" s="15"/>
      <c r="C123" s="20"/>
      <c r="D123" s="20"/>
    </row>
    <row r="124" spans="1:4" ht="20.25" x14ac:dyDescent="0.25">
      <c r="A124" s="88"/>
      <c r="B124" s="15"/>
      <c r="C124" s="20"/>
      <c r="D124" s="20"/>
    </row>
    <row r="125" spans="1:4" ht="20.25" x14ac:dyDescent="0.25">
      <c r="A125" s="88"/>
      <c r="B125" s="15"/>
      <c r="C125" s="20"/>
      <c r="D125" s="20"/>
    </row>
    <row r="126" spans="1:4" ht="20.25" x14ac:dyDescent="0.25">
      <c r="A126" s="88"/>
      <c r="B126" s="15"/>
      <c r="C126" s="20"/>
      <c r="D126" s="20"/>
    </row>
    <row r="127" spans="1:4" ht="20.25" x14ac:dyDescent="0.25">
      <c r="A127" s="88"/>
      <c r="B127" s="15"/>
      <c r="C127" s="20"/>
      <c r="D127" s="20"/>
    </row>
    <row r="128" spans="1:4" ht="20.25" x14ac:dyDescent="0.25">
      <c r="A128" s="88"/>
      <c r="B128" s="15"/>
      <c r="C128" s="20"/>
      <c r="D128" s="20"/>
    </row>
    <row r="129" spans="1:4" ht="20.25" x14ac:dyDescent="0.25">
      <c r="A129" s="88"/>
      <c r="B129" s="15"/>
      <c r="C129" s="20"/>
      <c r="D129" s="20"/>
    </row>
    <row r="130" spans="1:4" ht="20.25" x14ac:dyDescent="0.25">
      <c r="A130" s="88"/>
      <c r="B130" s="15"/>
      <c r="C130" s="20"/>
      <c r="D130" s="20"/>
    </row>
    <row r="131" spans="1:4" ht="20.25" x14ac:dyDescent="0.25">
      <c r="A131" s="88"/>
      <c r="B131" s="15"/>
      <c r="C131" s="20"/>
      <c r="D131" s="20"/>
    </row>
    <row r="132" spans="1:4" ht="20.25" x14ac:dyDescent="0.25">
      <c r="A132" s="88"/>
      <c r="B132" s="15"/>
      <c r="C132" s="20"/>
      <c r="D132" s="20"/>
    </row>
    <row r="133" spans="1:4" ht="20.25" x14ac:dyDescent="0.25">
      <c r="A133" s="88"/>
      <c r="B133" s="15"/>
      <c r="C133" s="20"/>
      <c r="D133" s="20"/>
    </row>
    <row r="134" spans="1:4" ht="20.25" x14ac:dyDescent="0.25">
      <c r="A134" s="88"/>
      <c r="B134" s="15"/>
      <c r="C134" s="20"/>
      <c r="D134" s="20"/>
    </row>
    <row r="135" spans="1:4" ht="20.25" x14ac:dyDescent="0.25">
      <c r="A135" s="88"/>
      <c r="B135" s="15"/>
      <c r="C135" s="20"/>
      <c r="D135" s="20"/>
    </row>
    <row r="136" spans="1:4" ht="20.25" x14ac:dyDescent="0.25">
      <c r="A136" s="88"/>
      <c r="B136" s="15"/>
      <c r="C136" s="20"/>
      <c r="D136" s="20"/>
    </row>
    <row r="137" spans="1:4" ht="20.25" x14ac:dyDescent="0.25">
      <c r="A137" s="88"/>
      <c r="B137" s="15"/>
      <c r="C137" s="20"/>
      <c r="D137" s="20"/>
    </row>
    <row r="138" spans="1:4" ht="20.25" x14ac:dyDescent="0.25">
      <c r="A138" s="88"/>
      <c r="B138" s="15"/>
      <c r="C138" s="20"/>
      <c r="D138" s="20"/>
    </row>
    <row r="139" spans="1:4" ht="20.25" x14ac:dyDescent="0.25">
      <c r="A139" s="88"/>
      <c r="B139" s="15"/>
      <c r="C139" s="20"/>
      <c r="D139" s="20"/>
    </row>
    <row r="140" spans="1:4" ht="20.25" x14ac:dyDescent="0.25">
      <c r="A140" s="88"/>
      <c r="B140" s="15"/>
      <c r="C140" s="20"/>
      <c r="D140" s="20"/>
    </row>
    <row r="141" spans="1:4" ht="20.25" x14ac:dyDescent="0.25">
      <c r="A141" s="88"/>
      <c r="B141" s="15"/>
      <c r="C141" s="20"/>
      <c r="D141" s="20"/>
    </row>
    <row r="142" spans="1:4" ht="20.25" x14ac:dyDescent="0.25">
      <c r="A142" s="88"/>
      <c r="B142" s="15"/>
      <c r="C142" s="20"/>
      <c r="D142" s="20"/>
    </row>
    <row r="143" spans="1:4" ht="20.25" x14ac:dyDescent="0.25">
      <c r="A143" s="88"/>
      <c r="B143" s="15"/>
      <c r="C143" s="20"/>
      <c r="D143" s="20"/>
    </row>
    <row r="144" spans="1:4" ht="20.25" x14ac:dyDescent="0.25">
      <c r="A144" s="88"/>
      <c r="B144" s="15"/>
      <c r="C144" s="20"/>
      <c r="D144" s="20"/>
    </row>
    <row r="145" spans="1:4" ht="20.25" x14ac:dyDescent="0.25">
      <c r="A145" s="88"/>
      <c r="B145" s="15"/>
      <c r="C145" s="20"/>
      <c r="D145" s="20"/>
    </row>
    <row r="146" spans="1:4" ht="20.25" x14ac:dyDescent="0.25">
      <c r="A146" s="88"/>
      <c r="B146" s="15"/>
      <c r="C146" s="20"/>
      <c r="D146" s="20"/>
    </row>
    <row r="147" spans="1:4" ht="20.25" x14ac:dyDescent="0.25">
      <c r="A147" s="88"/>
      <c r="B147" s="15"/>
      <c r="C147" s="20"/>
      <c r="D147" s="20"/>
    </row>
    <row r="148" spans="1:4" ht="20.25" x14ac:dyDescent="0.25">
      <c r="A148" s="88"/>
      <c r="B148" s="15"/>
      <c r="C148" s="20"/>
      <c r="D148" s="20"/>
    </row>
    <row r="149" spans="1:4" ht="20.25" x14ac:dyDescent="0.25">
      <c r="A149" s="88"/>
      <c r="B149" s="15"/>
      <c r="C149" s="20"/>
      <c r="D149" s="20"/>
    </row>
    <row r="150" spans="1:4" ht="20.25" x14ac:dyDescent="0.25">
      <c r="A150" s="88"/>
      <c r="B150" s="15"/>
      <c r="C150" s="20"/>
      <c r="D150" s="20"/>
    </row>
    <row r="151" spans="1:4" ht="20.25" x14ac:dyDescent="0.25">
      <c r="A151" s="88"/>
      <c r="B151" s="15"/>
      <c r="C151" s="20"/>
      <c r="D151" s="20"/>
    </row>
    <row r="152" spans="1:4" ht="20.25" x14ac:dyDescent="0.25">
      <c r="A152" s="88"/>
      <c r="B152" s="15"/>
      <c r="C152" s="20"/>
      <c r="D152" s="20"/>
    </row>
    <row r="153" spans="1:4" ht="20.25" x14ac:dyDescent="0.25">
      <c r="A153" s="88"/>
      <c r="B153" s="15"/>
      <c r="C153" s="20"/>
      <c r="D153" s="20"/>
    </row>
    <row r="154" spans="1:4" ht="20.25" x14ac:dyDescent="0.25">
      <c r="A154" s="88"/>
      <c r="B154" s="15"/>
      <c r="C154" s="20"/>
      <c r="D154" s="20"/>
    </row>
    <row r="155" spans="1:4" ht="20.25" x14ac:dyDescent="0.25">
      <c r="A155" s="88"/>
      <c r="B155" s="15"/>
      <c r="C155" s="20"/>
      <c r="D155" s="20"/>
    </row>
    <row r="156" spans="1:4" ht="20.25" x14ac:dyDescent="0.25">
      <c r="A156" s="88"/>
      <c r="B156" s="15"/>
      <c r="C156" s="20"/>
      <c r="D156" s="20"/>
    </row>
    <row r="157" spans="1:4" ht="20.25" x14ac:dyDescent="0.25">
      <c r="A157" s="88"/>
      <c r="B157" s="15"/>
      <c r="C157" s="20"/>
      <c r="D157" s="20"/>
    </row>
    <row r="158" spans="1:4" ht="20.25" x14ac:dyDescent="0.25">
      <c r="A158" s="88"/>
      <c r="B158" s="15"/>
      <c r="C158" s="20"/>
      <c r="D158" s="20"/>
    </row>
    <row r="159" spans="1:4" ht="20.25" x14ac:dyDescent="0.25">
      <c r="A159" s="88"/>
      <c r="B159" s="15"/>
      <c r="C159" s="20"/>
      <c r="D159" s="20"/>
    </row>
    <row r="160" spans="1:4" ht="20.25" x14ac:dyDescent="0.25">
      <c r="A160" s="88"/>
      <c r="B160" s="15"/>
      <c r="C160" s="20"/>
      <c r="D160" s="20"/>
    </row>
    <row r="161" spans="1:4" ht="20.25" x14ac:dyDescent="0.25">
      <c r="A161" s="88"/>
      <c r="B161" s="15"/>
      <c r="C161" s="20"/>
      <c r="D161" s="20"/>
    </row>
    <row r="162" spans="1:4" ht="20.25" x14ac:dyDescent="0.25">
      <c r="A162" s="88"/>
      <c r="B162" s="15"/>
      <c r="C162" s="20"/>
      <c r="D162" s="20"/>
    </row>
    <row r="163" spans="1:4" ht="20.25" x14ac:dyDescent="0.25">
      <c r="A163" s="88"/>
      <c r="B163" s="15"/>
      <c r="C163" s="20"/>
      <c r="D163" s="20"/>
    </row>
    <row r="164" spans="1:4" ht="20.25" x14ac:dyDescent="0.25">
      <c r="A164" s="88"/>
      <c r="B164" s="15"/>
      <c r="C164" s="20"/>
      <c r="D164" s="20"/>
    </row>
    <row r="165" spans="1:4" ht="20.25" x14ac:dyDescent="0.25">
      <c r="A165" s="88"/>
      <c r="B165" s="15"/>
      <c r="C165" s="20"/>
      <c r="D165" s="20"/>
    </row>
    <row r="166" spans="1:4" ht="20.25" x14ac:dyDescent="0.25">
      <c r="A166" s="88"/>
      <c r="B166" s="15"/>
      <c r="C166" s="20"/>
      <c r="D166" s="20"/>
    </row>
    <row r="167" spans="1:4" ht="20.25" x14ac:dyDescent="0.25">
      <c r="A167" s="88"/>
      <c r="B167" s="15"/>
      <c r="C167" s="20"/>
      <c r="D167" s="20"/>
    </row>
    <row r="168" spans="1:4" ht="20.25" x14ac:dyDescent="0.25">
      <c r="A168" s="88"/>
      <c r="B168" s="15"/>
      <c r="C168" s="20"/>
      <c r="D168" s="20"/>
    </row>
    <row r="169" spans="1:4" ht="20.25" x14ac:dyDescent="0.25">
      <c r="A169" s="88"/>
      <c r="B169" s="15"/>
      <c r="C169" s="20"/>
      <c r="D169" s="20"/>
    </row>
    <row r="170" spans="1:4" ht="20.25" x14ac:dyDescent="0.25">
      <c r="A170" s="88"/>
      <c r="B170" s="15"/>
      <c r="C170" s="20"/>
      <c r="D170" s="20"/>
    </row>
    <row r="171" spans="1:4" ht="20.25" x14ac:dyDescent="0.25">
      <c r="A171" s="88"/>
      <c r="B171" s="15"/>
      <c r="C171" s="20"/>
      <c r="D171" s="20"/>
    </row>
    <row r="172" spans="1:4" ht="20.25" x14ac:dyDescent="0.25">
      <c r="A172" s="88"/>
      <c r="B172" s="15"/>
      <c r="C172" s="20"/>
      <c r="D172" s="20"/>
    </row>
    <row r="173" spans="1:4" ht="20.25" x14ac:dyDescent="0.25">
      <c r="A173" s="88"/>
      <c r="B173" s="15"/>
      <c r="C173" s="20"/>
      <c r="D173" s="20"/>
    </row>
    <row r="174" spans="1:4" ht="20.25" x14ac:dyDescent="0.25">
      <c r="A174" s="88"/>
      <c r="B174" s="15"/>
      <c r="C174" s="20"/>
      <c r="D174" s="20"/>
    </row>
    <row r="175" spans="1:4" ht="20.25" x14ac:dyDescent="0.25">
      <c r="A175" s="88"/>
      <c r="B175" s="15"/>
      <c r="C175" s="20"/>
      <c r="D175" s="20"/>
    </row>
    <row r="176" spans="1:4" ht="20.25" x14ac:dyDescent="0.25">
      <c r="A176" s="88"/>
      <c r="B176" s="15"/>
      <c r="C176" s="20"/>
      <c r="D176" s="20"/>
    </row>
    <row r="177" spans="1:4" ht="20.25" x14ac:dyDescent="0.25">
      <c r="A177" s="88"/>
      <c r="B177" s="15"/>
      <c r="C177" s="20"/>
      <c r="D177" s="20"/>
    </row>
    <row r="178" spans="1:4" ht="20.25" x14ac:dyDescent="0.25">
      <c r="A178" s="88"/>
      <c r="B178" s="15"/>
      <c r="C178" s="20"/>
      <c r="D178" s="20"/>
    </row>
    <row r="179" spans="1:4" ht="20.25" x14ac:dyDescent="0.25">
      <c r="A179" s="88"/>
      <c r="B179" s="15"/>
      <c r="C179" s="20"/>
      <c r="D179" s="20"/>
    </row>
    <row r="180" spans="1:4" ht="20.25" x14ac:dyDescent="0.25">
      <c r="A180" s="88"/>
      <c r="B180" s="15"/>
      <c r="C180" s="20"/>
      <c r="D180" s="20"/>
    </row>
    <row r="181" spans="1:4" ht="20.25" x14ac:dyDescent="0.25">
      <c r="A181" s="88"/>
      <c r="B181" s="15"/>
      <c r="C181" s="20"/>
      <c r="D181" s="20"/>
    </row>
    <row r="182" spans="1:4" ht="20.25" x14ac:dyDescent="0.25">
      <c r="A182" s="88"/>
      <c r="B182" s="15"/>
      <c r="C182" s="20"/>
      <c r="D182" s="20"/>
    </row>
    <row r="183" spans="1:4" ht="20.25" x14ac:dyDescent="0.25">
      <c r="A183" s="88"/>
      <c r="B183" s="15"/>
      <c r="C183" s="20"/>
      <c r="D183" s="20"/>
    </row>
    <row r="184" spans="1:4" ht="20.25" x14ac:dyDescent="0.25">
      <c r="A184" s="88"/>
      <c r="B184" s="15"/>
      <c r="C184" s="20"/>
      <c r="D184" s="20"/>
    </row>
    <row r="185" spans="1:4" ht="20.25" x14ac:dyDescent="0.25">
      <c r="A185" s="88"/>
      <c r="B185" s="15"/>
      <c r="C185" s="20"/>
      <c r="D185" s="20"/>
    </row>
    <row r="186" spans="1:4" ht="20.25" x14ac:dyDescent="0.25">
      <c r="A186" s="88"/>
      <c r="B186" s="15"/>
      <c r="C186" s="20"/>
      <c r="D186" s="20"/>
    </row>
    <row r="187" spans="1:4" ht="20.25" x14ac:dyDescent="0.25">
      <c r="A187" s="88"/>
      <c r="B187" s="15"/>
      <c r="C187" s="20"/>
      <c r="D187" s="20"/>
    </row>
    <row r="188" spans="1:4" ht="20.25" x14ac:dyDescent="0.25">
      <c r="A188" s="88"/>
      <c r="B188" s="15"/>
      <c r="C188" s="20"/>
      <c r="D188" s="20"/>
    </row>
    <row r="189" spans="1:4" ht="20.25" x14ac:dyDescent="0.25">
      <c r="A189" s="88"/>
      <c r="B189" s="15"/>
      <c r="C189" s="20"/>
      <c r="D189" s="20"/>
    </row>
    <row r="190" spans="1:4" ht="20.25" x14ac:dyDescent="0.25">
      <c r="A190" s="88"/>
      <c r="B190" s="15"/>
      <c r="C190" s="20"/>
      <c r="D190" s="20"/>
    </row>
    <row r="191" spans="1:4" ht="20.25" x14ac:dyDescent="0.25">
      <c r="A191" s="88"/>
      <c r="B191" s="15"/>
      <c r="C191" s="20"/>
      <c r="D191" s="20"/>
    </row>
    <row r="192" spans="1:4" ht="20.25" x14ac:dyDescent="0.25">
      <c r="A192" s="88"/>
      <c r="B192" s="15"/>
      <c r="C192" s="20"/>
      <c r="D192" s="20"/>
    </row>
    <row r="193" spans="1:4" ht="20.25" x14ac:dyDescent="0.25">
      <c r="A193" s="88"/>
      <c r="B193" s="15"/>
      <c r="C193" s="20"/>
      <c r="D193" s="20"/>
    </row>
    <row r="194" spans="1:4" ht="20.25" x14ac:dyDescent="0.25">
      <c r="A194" s="88"/>
      <c r="B194" s="15"/>
      <c r="C194" s="20"/>
      <c r="D194" s="20"/>
    </row>
    <row r="195" spans="1:4" ht="20.25" x14ac:dyDescent="0.25">
      <c r="A195" s="88"/>
      <c r="B195" s="15"/>
      <c r="C195" s="20"/>
      <c r="D195" s="20"/>
    </row>
    <row r="196" spans="1:4" ht="20.25" x14ac:dyDescent="0.25">
      <c r="A196" s="88"/>
      <c r="B196" s="15"/>
      <c r="C196" s="20"/>
      <c r="D196" s="20"/>
    </row>
    <row r="197" spans="1:4" ht="20.25" x14ac:dyDescent="0.25">
      <c r="A197" s="88"/>
      <c r="B197" s="15"/>
      <c r="C197" s="20"/>
      <c r="D197" s="20"/>
    </row>
    <row r="198" spans="1:4" ht="20.25" x14ac:dyDescent="0.25">
      <c r="A198" s="88"/>
      <c r="B198" s="15"/>
      <c r="C198" s="20"/>
      <c r="D198" s="20"/>
    </row>
    <row r="199" spans="1:4" ht="20.25" x14ac:dyDescent="0.25">
      <c r="A199" s="88"/>
      <c r="B199" s="15"/>
      <c r="C199" s="20"/>
      <c r="D199" s="20"/>
    </row>
    <row r="200" spans="1:4" ht="20.25" x14ac:dyDescent="0.25">
      <c r="A200" s="88"/>
      <c r="B200" s="15"/>
      <c r="C200" s="20"/>
      <c r="D200" s="20"/>
    </row>
    <row r="201" spans="1:4" ht="20.25" x14ac:dyDescent="0.25">
      <c r="A201" s="88"/>
      <c r="B201" s="15"/>
      <c r="C201" s="20"/>
      <c r="D201" s="20"/>
    </row>
    <row r="202" spans="1:4" ht="20.25" x14ac:dyDescent="0.25">
      <c r="A202" s="88"/>
      <c r="B202" s="15"/>
      <c r="C202" s="20"/>
      <c r="D202" s="20"/>
    </row>
    <row r="203" spans="1:4" ht="20.25" x14ac:dyDescent="0.25">
      <c r="A203" s="88"/>
      <c r="B203" s="15"/>
      <c r="C203" s="20"/>
      <c r="D203" s="20"/>
    </row>
    <row r="204" spans="1:4" ht="20.25" x14ac:dyDescent="0.25">
      <c r="A204" s="88"/>
      <c r="B204" s="15"/>
      <c r="C204" s="20"/>
      <c r="D204" s="20"/>
    </row>
    <row r="205" spans="1:4" ht="20.25" x14ac:dyDescent="0.25">
      <c r="A205" s="88"/>
      <c r="B205" s="15"/>
      <c r="C205" s="20"/>
      <c r="D205" s="20"/>
    </row>
    <row r="206" spans="1:4" ht="20.25" x14ac:dyDescent="0.25">
      <c r="A206" s="88"/>
      <c r="B206" s="15"/>
      <c r="C206" s="20"/>
      <c r="D206" s="20"/>
    </row>
    <row r="207" spans="1:4" ht="20.25" x14ac:dyDescent="0.25">
      <c r="A207" s="88"/>
      <c r="B207" s="15"/>
      <c r="C207" s="20"/>
      <c r="D207" s="20"/>
    </row>
    <row r="208" spans="1:4" x14ac:dyDescent="0.25">
      <c r="A208" s="70"/>
      <c r="B208" s="15"/>
      <c r="C208" s="15"/>
      <c r="D208" s="15"/>
    </row>
    <row r="209" spans="1:8" ht="20.25" x14ac:dyDescent="0.25">
      <c r="A209" s="70"/>
      <c r="B209" s="16" t="s">
        <v>84</v>
      </c>
      <c r="C209" s="16" t="s">
        <v>138</v>
      </c>
      <c r="D209" s="19" t="s">
        <v>84</v>
      </c>
      <c r="E209" s="19" t="s">
        <v>138</v>
      </c>
    </row>
    <row r="210" spans="1:8" ht="21" x14ac:dyDescent="0.35">
      <c r="A210" s="70"/>
      <c r="B210" s="17" t="s">
        <v>86</v>
      </c>
      <c r="C210" s="17" t="s">
        <v>54</v>
      </c>
      <c r="D210" t="s">
        <v>86</v>
      </c>
      <c r="F210" t="str">
        <f>IF(NOT(ISBLANK(D210)),D210,IF(NOT(ISBLANK(E210)),"     "&amp;E210,FALSE))</f>
        <v>Afectación Económica o presupuestal</v>
      </c>
      <c r="G210" t="s">
        <v>86</v>
      </c>
      <c r="H210" t="str">
        <f>IF(NOT(ISERROR(MATCH(G210,_xlfn.ANCHORARRAY(B221),0))),F223&amp;"Por favor no seleccionar los criterios de impacto",G210)</f>
        <v>❌Por favor no seleccionar los criterios de impacto</v>
      </c>
    </row>
    <row r="211" spans="1:8" ht="21" x14ac:dyDescent="0.35">
      <c r="A211" s="70"/>
      <c r="B211" s="17" t="s">
        <v>86</v>
      </c>
      <c r="C211" s="17" t="s">
        <v>89</v>
      </c>
      <c r="E211" t="s">
        <v>54</v>
      </c>
      <c r="F211" t="str">
        <f t="shared" ref="F211:F221" si="0">IF(NOT(ISBLANK(D211)),D211,IF(NOT(ISBLANK(E211)),"     "&amp;E211,FALSE))</f>
        <v xml:space="preserve">     Afectación menor a 10 SMLMV .</v>
      </c>
    </row>
    <row r="212" spans="1:8" ht="21" x14ac:dyDescent="0.35">
      <c r="A212" s="70"/>
      <c r="B212" s="17" t="s">
        <v>86</v>
      </c>
      <c r="C212" s="17" t="s">
        <v>90</v>
      </c>
      <c r="E212" t="s">
        <v>89</v>
      </c>
      <c r="F212" t="str">
        <f t="shared" si="0"/>
        <v xml:space="preserve">     Entre 10 y 50 SMLMV </v>
      </c>
    </row>
    <row r="213" spans="1:8" ht="21" x14ac:dyDescent="0.35">
      <c r="A213" s="70"/>
      <c r="B213" s="17" t="s">
        <v>86</v>
      </c>
      <c r="C213" s="17" t="s">
        <v>91</v>
      </c>
      <c r="E213" t="s">
        <v>90</v>
      </c>
      <c r="F213" t="str">
        <f t="shared" si="0"/>
        <v xml:space="preserve">     Entre 50 y 100 SMLMV </v>
      </c>
    </row>
    <row r="214" spans="1:8" ht="21" x14ac:dyDescent="0.35">
      <c r="A214" s="70"/>
      <c r="B214" s="17" t="s">
        <v>86</v>
      </c>
      <c r="C214" s="17" t="s">
        <v>92</v>
      </c>
      <c r="E214" t="s">
        <v>91</v>
      </c>
      <c r="F214" t="str">
        <f t="shared" si="0"/>
        <v xml:space="preserve">     Entre 100 y 500 SMLMV </v>
      </c>
    </row>
    <row r="215" spans="1:8" ht="21" x14ac:dyDescent="0.35">
      <c r="A215" s="70"/>
      <c r="B215" s="17" t="s">
        <v>53</v>
      </c>
      <c r="C215" s="17" t="s">
        <v>93</v>
      </c>
      <c r="E215" t="s">
        <v>92</v>
      </c>
      <c r="F215" t="str">
        <f t="shared" si="0"/>
        <v xml:space="preserve">     Mayor a 500 SMLMV </v>
      </c>
    </row>
    <row r="216" spans="1:8" ht="21" x14ac:dyDescent="0.35">
      <c r="A216" s="70"/>
      <c r="B216" s="17" t="s">
        <v>53</v>
      </c>
      <c r="C216" s="17" t="s">
        <v>94</v>
      </c>
      <c r="D216" t="s">
        <v>53</v>
      </c>
      <c r="F216" t="str">
        <f t="shared" si="0"/>
        <v>Pérdida Reputacional</v>
      </c>
    </row>
    <row r="217" spans="1:8" ht="21" x14ac:dyDescent="0.35">
      <c r="A217" s="70"/>
      <c r="B217" s="17" t="s">
        <v>53</v>
      </c>
      <c r="C217" s="17" t="s">
        <v>96</v>
      </c>
      <c r="E217" t="s">
        <v>93</v>
      </c>
      <c r="F217" t="str">
        <f t="shared" si="0"/>
        <v xml:space="preserve">     El riesgo afecta la imagen de alguna área de la organización</v>
      </c>
    </row>
    <row r="218" spans="1:8" ht="21" x14ac:dyDescent="0.35">
      <c r="A218" s="70"/>
      <c r="B218" s="17" t="s">
        <v>53</v>
      </c>
      <c r="C218" s="17" t="s">
        <v>95</v>
      </c>
      <c r="E218" t="s">
        <v>94</v>
      </c>
      <c r="F218" t="str">
        <f t="shared" si="0"/>
        <v xml:space="preserve">     El riesgo afecta la imagen de la entidad internamente, de conocimiento general, nivel interno, de junta dircetiva y accionistas y/o de provedores</v>
      </c>
    </row>
    <row r="219" spans="1:8" ht="21" x14ac:dyDescent="0.35">
      <c r="A219" s="70"/>
      <c r="B219" s="17" t="s">
        <v>53</v>
      </c>
      <c r="C219" s="17" t="s">
        <v>114</v>
      </c>
      <c r="E219" t="s">
        <v>96</v>
      </c>
      <c r="F219" t="str">
        <f t="shared" si="0"/>
        <v xml:space="preserve">     El riesgo afecta la imagen de la entidad con algunos usuarios de relevancia frente al logro de los objetivos</v>
      </c>
    </row>
    <row r="220" spans="1:8" x14ac:dyDescent="0.25">
      <c r="A220" s="70"/>
      <c r="B220" s="18"/>
      <c r="C220" s="18"/>
      <c r="E220" t="s">
        <v>95</v>
      </c>
      <c r="F220" t="str">
        <f t="shared" si="0"/>
        <v xml:space="preserve">     El riesgo afecta la imagen de de la entidad con efecto publicitario sostenido a nivel de sector administrativo, nivel departamental o municipal</v>
      </c>
    </row>
    <row r="221" spans="1:8" x14ac:dyDescent="0.25">
      <c r="A221" s="70"/>
      <c r="B221" s="18" t="str" cm="1">
        <f t="array" ref="B221:B223">_xlfn.UNIQUE(Tabla1[[#All],[Criterios]])</f>
        <v>Criterios</v>
      </c>
      <c r="C221" s="18"/>
      <c r="E221" t="s">
        <v>114</v>
      </c>
      <c r="F221" t="str">
        <f t="shared" si="0"/>
        <v xml:space="preserve">     El riesgo afecta la imagen de la entidad a nivel nacional, con efecto publicitarios sostenible a nivel país</v>
      </c>
    </row>
    <row r="222" spans="1:8" x14ac:dyDescent="0.25">
      <c r="A222" s="70"/>
      <c r="B222" s="18" t="str">
        <v>Afectación Económica o presupuestal</v>
      </c>
      <c r="C222" s="18"/>
    </row>
    <row r="223" spans="1:8" x14ac:dyDescent="0.25">
      <c r="B223" s="18" t="str">
        <v>Pérdida Reputacional</v>
      </c>
      <c r="C223" s="18"/>
      <c r="F223" s="21" t="s">
        <v>140</v>
      </c>
    </row>
    <row r="224" spans="1:8" x14ac:dyDescent="0.25">
      <c r="B224" s="14"/>
      <c r="C224" s="14"/>
      <c r="F224" s="21" t="s">
        <v>141</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F16"/>
  <sheetViews>
    <sheetView topLeftCell="A13" workbookViewId="0">
      <selection activeCell="A5" sqref="A5"/>
    </sheetView>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79" t="s">
        <v>74</v>
      </c>
      <c r="C1" s="380"/>
      <c r="D1" s="380"/>
      <c r="E1" s="380"/>
      <c r="F1" s="381"/>
    </row>
    <row r="2" spans="2:6" ht="16.5" thickBot="1" x14ac:dyDescent="0.3">
      <c r="B2" s="76"/>
      <c r="C2" s="76"/>
      <c r="D2" s="76"/>
      <c r="E2" s="76"/>
      <c r="F2" s="76"/>
    </row>
    <row r="3" spans="2:6" ht="16.5" thickBot="1" x14ac:dyDescent="0.25">
      <c r="B3" s="383" t="s">
        <v>60</v>
      </c>
      <c r="C3" s="384"/>
      <c r="D3" s="384"/>
      <c r="E3" s="137" t="s">
        <v>61</v>
      </c>
      <c r="F3" s="138" t="s">
        <v>62</v>
      </c>
    </row>
    <row r="4" spans="2:6" ht="31.5" x14ac:dyDescent="0.2">
      <c r="B4" s="385" t="s">
        <v>63</v>
      </c>
      <c r="C4" s="387" t="s">
        <v>12</v>
      </c>
      <c r="D4" s="77" t="s">
        <v>13</v>
      </c>
      <c r="E4" s="78" t="s">
        <v>64</v>
      </c>
      <c r="F4" s="79">
        <v>0.25</v>
      </c>
    </row>
    <row r="5" spans="2:6" ht="47.25" x14ac:dyDescent="0.2">
      <c r="B5" s="386"/>
      <c r="C5" s="388"/>
      <c r="D5" s="80" t="s">
        <v>14</v>
      </c>
      <c r="E5" s="81" t="s">
        <v>65</v>
      </c>
      <c r="F5" s="82">
        <v>0.15</v>
      </c>
    </row>
    <row r="6" spans="2:6" ht="47.25" x14ac:dyDescent="0.2">
      <c r="B6" s="386"/>
      <c r="C6" s="388"/>
      <c r="D6" s="80" t="s">
        <v>15</v>
      </c>
      <c r="E6" s="81" t="s">
        <v>66</v>
      </c>
      <c r="F6" s="82">
        <v>0.1</v>
      </c>
    </row>
    <row r="7" spans="2:6" ht="63" x14ac:dyDescent="0.2">
      <c r="B7" s="386"/>
      <c r="C7" s="388" t="s">
        <v>16</v>
      </c>
      <c r="D7" s="80" t="s">
        <v>9</v>
      </c>
      <c r="E7" s="81" t="s">
        <v>67</v>
      </c>
      <c r="F7" s="82">
        <v>0.25</v>
      </c>
    </row>
    <row r="8" spans="2:6" ht="31.5" x14ac:dyDescent="0.2">
      <c r="B8" s="386"/>
      <c r="C8" s="388"/>
      <c r="D8" s="80" t="s">
        <v>8</v>
      </c>
      <c r="E8" s="81" t="s">
        <v>68</v>
      </c>
      <c r="F8" s="82">
        <v>0.15</v>
      </c>
    </row>
    <row r="9" spans="2:6" ht="47.25" x14ac:dyDescent="0.2">
      <c r="B9" s="386" t="s">
        <v>155</v>
      </c>
      <c r="C9" s="388" t="s">
        <v>17</v>
      </c>
      <c r="D9" s="80" t="s">
        <v>18</v>
      </c>
      <c r="E9" s="81" t="s">
        <v>69</v>
      </c>
      <c r="F9" s="83" t="s">
        <v>70</v>
      </c>
    </row>
    <row r="10" spans="2:6" ht="63" x14ac:dyDescent="0.2">
      <c r="B10" s="386"/>
      <c r="C10" s="388"/>
      <c r="D10" s="80" t="s">
        <v>19</v>
      </c>
      <c r="E10" s="81" t="s">
        <v>71</v>
      </c>
      <c r="F10" s="83" t="s">
        <v>70</v>
      </c>
    </row>
    <row r="11" spans="2:6" ht="47.25" x14ac:dyDescent="0.2">
      <c r="B11" s="386"/>
      <c r="C11" s="388" t="s">
        <v>20</v>
      </c>
      <c r="D11" s="80" t="s">
        <v>21</v>
      </c>
      <c r="E11" s="81" t="s">
        <v>72</v>
      </c>
      <c r="F11" s="83" t="s">
        <v>70</v>
      </c>
    </row>
    <row r="12" spans="2:6" ht="47.25" x14ac:dyDescent="0.2">
      <c r="B12" s="386"/>
      <c r="C12" s="388"/>
      <c r="D12" s="80" t="s">
        <v>22</v>
      </c>
      <c r="E12" s="81" t="s">
        <v>73</v>
      </c>
      <c r="F12" s="83" t="s">
        <v>70</v>
      </c>
    </row>
    <row r="13" spans="2:6" ht="31.5" x14ac:dyDescent="0.2">
      <c r="B13" s="386"/>
      <c r="C13" s="388" t="s">
        <v>23</v>
      </c>
      <c r="D13" s="80" t="s">
        <v>115</v>
      </c>
      <c r="E13" s="81" t="s">
        <v>118</v>
      </c>
      <c r="F13" s="83" t="s">
        <v>70</v>
      </c>
    </row>
    <row r="14" spans="2:6" ht="32.25" thickBot="1" x14ac:dyDescent="0.25">
      <c r="B14" s="389"/>
      <c r="C14" s="390"/>
      <c r="D14" s="84" t="s">
        <v>116</v>
      </c>
      <c r="E14" s="85" t="s">
        <v>117</v>
      </c>
      <c r="F14" s="86" t="s">
        <v>70</v>
      </c>
    </row>
    <row r="15" spans="2:6" ht="49.5" customHeight="1" x14ac:dyDescent="0.2">
      <c r="B15" s="382" t="s">
        <v>152</v>
      </c>
      <c r="C15" s="382"/>
      <c r="D15" s="382"/>
      <c r="E15" s="382"/>
      <c r="F15" s="382"/>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30</v>
      </c>
      <c r="E2" t="s">
        <v>127</v>
      </c>
    </row>
    <row r="3" spans="2:5" x14ac:dyDescent="0.25">
      <c r="B3" t="s">
        <v>31</v>
      </c>
      <c r="E3" t="s">
        <v>126</v>
      </c>
    </row>
    <row r="4" spans="2:5" x14ac:dyDescent="0.25">
      <c r="B4" t="s">
        <v>131</v>
      </c>
      <c r="E4" t="s">
        <v>128</v>
      </c>
    </row>
    <row r="5" spans="2:5" x14ac:dyDescent="0.25">
      <c r="B5" t="s">
        <v>130</v>
      </c>
    </row>
    <row r="8" spans="2:5" x14ac:dyDescent="0.25">
      <c r="B8" t="s">
        <v>82</v>
      </c>
    </row>
    <row r="9" spans="2:5" x14ac:dyDescent="0.25">
      <c r="B9" t="s">
        <v>39</v>
      </c>
    </row>
    <row r="10" spans="2:5" x14ac:dyDescent="0.25">
      <c r="B10" t="s">
        <v>40</v>
      </c>
    </row>
    <row r="13" spans="2:5" x14ac:dyDescent="0.25">
      <c r="B13" t="s">
        <v>125</v>
      </c>
    </row>
    <row r="14" spans="2:5" x14ac:dyDescent="0.25">
      <c r="B14" t="s">
        <v>119</v>
      </c>
    </row>
    <row r="15" spans="2:5" x14ac:dyDescent="0.25">
      <c r="B15" t="s">
        <v>122</v>
      </c>
    </row>
    <row r="16" spans="2:5" x14ac:dyDescent="0.25">
      <c r="B16" t="s">
        <v>120</v>
      </c>
    </row>
    <row r="17" spans="2:2" x14ac:dyDescent="0.25">
      <c r="B17" t="s">
        <v>121</v>
      </c>
    </row>
    <row r="18" spans="2:2" x14ac:dyDescent="0.25">
      <c r="B18" t="s">
        <v>123</v>
      </c>
    </row>
    <row r="19" spans="2:2" x14ac:dyDescent="0.25">
      <c r="B19" t="s">
        <v>124</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39</v>
      </c>
    </row>
    <row r="21" spans="1:1" x14ac:dyDescent="0.2">
      <c r="A21" s="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LENOVO</cp:lastModifiedBy>
  <cp:lastPrinted>2020-05-13T01:12:22Z</cp:lastPrinted>
  <dcterms:created xsi:type="dcterms:W3CDTF">2020-03-24T23:12:47Z</dcterms:created>
  <dcterms:modified xsi:type="dcterms:W3CDTF">2022-02-07T14:59:25Z</dcterms:modified>
</cp:coreProperties>
</file>