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0" yWindow="0" windowWidth="24000" windowHeight="9735"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final'!$A$8:$BR$128</definedName>
  </definedNames>
  <calcPr calcId="152511" concurrentCalc="0"/>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6" i="1" l="1"/>
  <c r="S26" i="1"/>
  <c r="V25" i="1"/>
  <c r="S25" i="1"/>
  <c r="AD26" i="1"/>
  <c r="AC26" i="1"/>
  <c r="V24" i="1"/>
  <c r="S24" i="1"/>
  <c r="AD25" i="1"/>
  <c r="AC25" i="1"/>
  <c r="V23" i="1"/>
  <c r="S23" i="1"/>
  <c r="Z24" i="1"/>
  <c r="V22" i="1"/>
  <c r="S22" i="1"/>
  <c r="AD22" i="1"/>
  <c r="AC22" i="1"/>
  <c r="V21" i="1"/>
  <c r="S21" i="1"/>
  <c r="J21" i="1"/>
  <c r="K21" i="1"/>
  <c r="Z21" i="1"/>
  <c r="S16" i="1"/>
  <c r="Z16" i="1"/>
  <c r="V16" i="1"/>
  <c r="AA21" i="1"/>
  <c r="AB21" i="1"/>
  <c r="AB24" i="1"/>
  <c r="AA24" i="1"/>
  <c r="Z25" i="1"/>
  <c r="Z22" i="1"/>
  <c r="Z26" i="1"/>
  <c r="Z23" i="1"/>
  <c r="M21" i="1"/>
  <c r="N21" i="1"/>
  <c r="O21" i="1"/>
  <c r="AD21" i="1"/>
  <c r="AC21" i="1"/>
  <c r="AD23" i="1"/>
  <c r="AC23" i="1"/>
  <c r="AD24" i="1"/>
  <c r="AC24" i="1"/>
  <c r="AB16" i="1"/>
  <c r="AA16" i="1"/>
  <c r="AD16" i="1"/>
  <c r="AC16" i="1"/>
  <c r="M14" i="1"/>
  <c r="M13" i="1"/>
  <c r="M12" i="1"/>
  <c r="M11" i="1"/>
  <c r="M10" i="1"/>
  <c r="AB22" i="1"/>
  <c r="AA22" i="1"/>
  <c r="AE22" i="1"/>
  <c r="AB23" i="1"/>
  <c r="AA23" i="1"/>
  <c r="AE23" i="1"/>
  <c r="AB25" i="1"/>
  <c r="AA25" i="1"/>
  <c r="AE25" i="1"/>
  <c r="AB26" i="1"/>
  <c r="AA26" i="1"/>
  <c r="AE26" i="1"/>
  <c r="AE24" i="1"/>
  <c r="AE21" i="1"/>
  <c r="AE16" i="1"/>
  <c r="J9" i="1"/>
  <c r="K9" i="1"/>
  <c r="S13" i="1"/>
  <c r="S10" i="1"/>
  <c r="S9" i="1"/>
  <c r="V128" i="1"/>
  <c r="S128" i="1"/>
  <c r="V127" i="1"/>
  <c r="S127" i="1"/>
  <c r="V126" i="1"/>
  <c r="S126" i="1"/>
  <c r="V125" i="1"/>
  <c r="S125" i="1"/>
  <c r="V124" i="1"/>
  <c r="S124" i="1"/>
  <c r="V123" i="1"/>
  <c r="S123" i="1"/>
  <c r="J123" i="1"/>
  <c r="V122" i="1"/>
  <c r="S122" i="1"/>
  <c r="V121" i="1"/>
  <c r="S121" i="1"/>
  <c r="V120" i="1"/>
  <c r="S120" i="1"/>
  <c r="V119" i="1"/>
  <c r="S119" i="1"/>
  <c r="V118" i="1"/>
  <c r="S118" i="1"/>
  <c r="V117" i="1"/>
  <c r="S117" i="1"/>
  <c r="J117" i="1"/>
  <c r="V116" i="1"/>
  <c r="S116" i="1"/>
  <c r="V115" i="1"/>
  <c r="S115" i="1"/>
  <c r="V114" i="1"/>
  <c r="S114" i="1"/>
  <c r="V113" i="1"/>
  <c r="S113" i="1"/>
  <c r="V112" i="1"/>
  <c r="S112" i="1"/>
  <c r="V111" i="1"/>
  <c r="S111" i="1"/>
  <c r="AD111" i="1"/>
  <c r="AC111" i="1"/>
  <c r="J111" i="1"/>
  <c r="K111" i="1"/>
  <c r="V110" i="1"/>
  <c r="S110" i="1"/>
  <c r="V109" i="1"/>
  <c r="S109" i="1"/>
  <c r="V108" i="1"/>
  <c r="S108" i="1"/>
  <c r="V107" i="1"/>
  <c r="S107" i="1"/>
  <c r="V106" i="1"/>
  <c r="S106" i="1"/>
  <c r="V105" i="1"/>
  <c r="S105" i="1"/>
  <c r="J105" i="1"/>
  <c r="V104" i="1"/>
  <c r="S104" i="1"/>
  <c r="V103" i="1"/>
  <c r="S103" i="1"/>
  <c r="V102" i="1"/>
  <c r="S102" i="1"/>
  <c r="V101" i="1"/>
  <c r="S101" i="1"/>
  <c r="V100" i="1"/>
  <c r="S100" i="1"/>
  <c r="V99" i="1"/>
  <c r="S99" i="1"/>
  <c r="AD99" i="1"/>
  <c r="AC99" i="1"/>
  <c r="J99" i="1"/>
  <c r="K99" i="1"/>
  <c r="V98" i="1"/>
  <c r="S98" i="1"/>
  <c r="V97" i="1"/>
  <c r="S97" i="1"/>
  <c r="V96" i="1"/>
  <c r="S96" i="1"/>
  <c r="V95" i="1"/>
  <c r="S95" i="1"/>
  <c r="V94" i="1"/>
  <c r="S94" i="1"/>
  <c r="V93" i="1"/>
  <c r="S93" i="1"/>
  <c r="J93" i="1"/>
  <c r="V92" i="1"/>
  <c r="S92" i="1"/>
  <c r="V91" i="1"/>
  <c r="S91" i="1"/>
  <c r="V90" i="1"/>
  <c r="S90" i="1"/>
  <c r="V89" i="1"/>
  <c r="S89" i="1"/>
  <c r="V88" i="1"/>
  <c r="S88" i="1"/>
  <c r="V87" i="1"/>
  <c r="S87" i="1"/>
  <c r="AD87" i="1"/>
  <c r="AC87" i="1"/>
  <c r="J87" i="1"/>
  <c r="K87" i="1"/>
  <c r="V86" i="1"/>
  <c r="S86" i="1"/>
  <c r="V85" i="1"/>
  <c r="S85" i="1"/>
  <c r="V84" i="1"/>
  <c r="S84" i="1"/>
  <c r="V83" i="1"/>
  <c r="S83" i="1"/>
  <c r="V82" i="1"/>
  <c r="S82" i="1"/>
  <c r="V81" i="1"/>
  <c r="S81" i="1"/>
  <c r="J81" i="1"/>
  <c r="V80" i="1"/>
  <c r="S80" i="1"/>
  <c r="V79" i="1"/>
  <c r="S79" i="1"/>
  <c r="V78" i="1"/>
  <c r="S78" i="1"/>
  <c r="V77" i="1"/>
  <c r="S77" i="1"/>
  <c r="V76" i="1"/>
  <c r="S76" i="1"/>
  <c r="V75" i="1"/>
  <c r="S75" i="1"/>
  <c r="AD75" i="1"/>
  <c r="AC75" i="1"/>
  <c r="J75" i="1"/>
  <c r="K75" i="1"/>
  <c r="V74" i="1"/>
  <c r="S74" i="1"/>
  <c r="V73" i="1"/>
  <c r="S73" i="1"/>
  <c r="V72" i="1"/>
  <c r="S72" i="1"/>
  <c r="V71" i="1"/>
  <c r="S71" i="1"/>
  <c r="V70" i="1"/>
  <c r="S70" i="1"/>
  <c r="V69" i="1"/>
  <c r="S69" i="1"/>
  <c r="Z69" i="1"/>
  <c r="AB69" i="1"/>
  <c r="J69" i="1"/>
  <c r="M86" i="1"/>
  <c r="M106" i="1"/>
  <c r="M114" i="1"/>
  <c r="M85" i="1"/>
  <c r="M84" i="1"/>
  <c r="M103" i="1"/>
  <c r="M72" i="1"/>
  <c r="M79" i="1"/>
  <c r="M121" i="1"/>
  <c r="M116" i="1"/>
  <c r="M113" i="1"/>
  <c r="M88" i="1"/>
  <c r="M128" i="1"/>
  <c r="M76" i="1"/>
  <c r="M118" i="1"/>
  <c r="M91" i="1"/>
  <c r="M94" i="1"/>
  <c r="M82" i="1"/>
  <c r="M124" i="1"/>
  <c r="M109" i="1"/>
  <c r="M74" i="1"/>
  <c r="M73" i="1"/>
  <c r="M77" i="1"/>
  <c r="M122" i="1"/>
  <c r="M90" i="1"/>
  <c r="M71" i="1"/>
  <c r="M96" i="1"/>
  <c r="M101" i="1"/>
  <c r="M100" i="1"/>
  <c r="M102" i="1"/>
  <c r="M120" i="1"/>
  <c r="M78" i="1"/>
  <c r="M119" i="1"/>
  <c r="M127" i="1"/>
  <c r="M126" i="1"/>
  <c r="M104" i="1"/>
  <c r="M97" i="1"/>
  <c r="M112" i="1"/>
  <c r="M98" i="1"/>
  <c r="M80" i="1"/>
  <c r="M95" i="1"/>
  <c r="M70" i="1"/>
  <c r="M125" i="1"/>
  <c r="M115" i="1"/>
  <c r="M108" i="1"/>
  <c r="M107" i="1"/>
  <c r="M92" i="1"/>
  <c r="M110" i="1"/>
  <c r="M83" i="1"/>
  <c r="M89" i="1"/>
  <c r="Z119" i="1"/>
  <c r="Z109" i="1"/>
  <c r="AD73" i="1"/>
  <c r="AC73" i="1"/>
  <c r="Z83" i="1"/>
  <c r="Z95" i="1"/>
  <c r="AA95" i="1"/>
  <c r="AD120" i="1"/>
  <c r="AC120" i="1"/>
  <c r="AD92" i="1"/>
  <c r="AC92" i="1"/>
  <c r="AD126" i="1"/>
  <c r="AC126" i="1"/>
  <c r="Z80" i="1"/>
  <c r="AB80" i="1"/>
  <c r="AD109" i="1"/>
  <c r="AC109" i="1"/>
  <c r="AD116" i="1"/>
  <c r="AC116" i="1"/>
  <c r="AD113" i="1"/>
  <c r="AC113" i="1"/>
  <c r="AD124" i="1"/>
  <c r="AC124" i="1"/>
  <c r="AD102" i="1"/>
  <c r="AC102" i="1"/>
  <c r="AD82" i="1"/>
  <c r="AC82" i="1"/>
  <c r="AD89" i="1"/>
  <c r="AC89" i="1"/>
  <c r="AD106" i="1"/>
  <c r="AC106" i="1"/>
  <c r="Z111" i="1"/>
  <c r="AB111" i="1"/>
  <c r="Z102" i="1"/>
  <c r="AB102" i="1"/>
  <c r="AD119" i="1"/>
  <c r="AC119" i="1"/>
  <c r="AD69" i="1"/>
  <c r="AC69" i="1"/>
  <c r="Z73" i="1"/>
  <c r="AB73" i="1"/>
  <c r="AD77" i="1"/>
  <c r="AC77" i="1"/>
  <c r="Z92" i="1"/>
  <c r="AB92" i="1"/>
  <c r="AD95" i="1"/>
  <c r="AC95" i="1"/>
  <c r="AD80" i="1"/>
  <c r="AC80" i="1"/>
  <c r="AD74" i="1"/>
  <c r="AC74" i="1"/>
  <c r="AD79" i="1"/>
  <c r="AC79" i="1"/>
  <c r="AD103" i="1"/>
  <c r="AC103" i="1"/>
  <c r="Z126" i="1"/>
  <c r="AB126" i="1"/>
  <c r="Z123" i="1"/>
  <c r="AB123" i="1"/>
  <c r="Z112" i="1"/>
  <c r="AB112" i="1"/>
  <c r="AD72" i="1"/>
  <c r="AC72" i="1"/>
  <c r="Z76" i="1"/>
  <c r="AB76" i="1"/>
  <c r="Z88" i="1"/>
  <c r="Z105" i="1"/>
  <c r="AB105" i="1"/>
  <c r="AD112" i="1"/>
  <c r="AC112" i="1"/>
  <c r="AD76" i="1"/>
  <c r="AC76" i="1"/>
  <c r="AD88" i="1"/>
  <c r="AC88" i="1"/>
  <c r="AD96" i="1"/>
  <c r="AC96" i="1"/>
  <c r="AD105" i="1"/>
  <c r="AC105" i="1"/>
  <c r="AD110" i="1"/>
  <c r="AC110" i="1"/>
  <c r="AD114" i="1"/>
  <c r="AC114" i="1"/>
  <c r="Z116" i="1"/>
  <c r="AB116" i="1"/>
  <c r="AD70" i="1"/>
  <c r="AC70" i="1"/>
  <c r="AD127" i="1"/>
  <c r="AC127" i="1"/>
  <c r="AA83" i="1"/>
  <c r="AB83" i="1"/>
  <c r="AD86" i="1"/>
  <c r="AC86" i="1"/>
  <c r="Z86" i="1"/>
  <c r="AD98" i="1"/>
  <c r="AC98" i="1"/>
  <c r="Z98" i="1"/>
  <c r="AD97" i="1"/>
  <c r="AC97" i="1"/>
  <c r="Z97" i="1"/>
  <c r="AD122" i="1"/>
  <c r="AC122" i="1"/>
  <c r="Z122" i="1"/>
  <c r="K69" i="1"/>
  <c r="AA69" i="1"/>
  <c r="Z70" i="1"/>
  <c r="Z74" i="1"/>
  <c r="Z77" i="1"/>
  <c r="AD84" i="1"/>
  <c r="AC84" i="1"/>
  <c r="Z84" i="1"/>
  <c r="AD83" i="1"/>
  <c r="AC83" i="1"/>
  <c r="AD94" i="1"/>
  <c r="AC94" i="1"/>
  <c r="Z94" i="1"/>
  <c r="AD93" i="1"/>
  <c r="AC93" i="1"/>
  <c r="Z93" i="1"/>
  <c r="AD104" i="1"/>
  <c r="AC104" i="1"/>
  <c r="Z104" i="1"/>
  <c r="AD108" i="1"/>
  <c r="AC108" i="1"/>
  <c r="Z108" i="1"/>
  <c r="AD107" i="1"/>
  <c r="AC107" i="1"/>
  <c r="Z107" i="1"/>
  <c r="AD118" i="1"/>
  <c r="AC118" i="1"/>
  <c r="Z118" i="1"/>
  <c r="AD117" i="1"/>
  <c r="AC117" i="1"/>
  <c r="Z117" i="1"/>
  <c r="AD121" i="1"/>
  <c r="AC121" i="1"/>
  <c r="AD85" i="1"/>
  <c r="AC85" i="1"/>
  <c r="K105" i="1"/>
  <c r="Z78" i="1"/>
  <c r="AD78" i="1"/>
  <c r="AC78" i="1"/>
  <c r="Z81" i="1"/>
  <c r="AD81" i="1"/>
  <c r="AC81" i="1"/>
  <c r="Z85" i="1"/>
  <c r="AB88" i="1"/>
  <c r="AA88" i="1"/>
  <c r="AD101" i="1"/>
  <c r="AC101" i="1"/>
  <c r="Z101" i="1"/>
  <c r="AD100" i="1"/>
  <c r="AC100" i="1"/>
  <c r="Z100" i="1"/>
  <c r="AD125" i="1"/>
  <c r="AC125" i="1"/>
  <c r="Z125" i="1"/>
  <c r="AD128" i="1"/>
  <c r="AC128" i="1"/>
  <c r="Z71" i="1"/>
  <c r="AD71" i="1"/>
  <c r="AC71" i="1"/>
  <c r="Z72" i="1"/>
  <c r="Z75" i="1"/>
  <c r="Z79" i="1"/>
  <c r="K81" i="1"/>
  <c r="Z82" i="1"/>
  <c r="AD91" i="1"/>
  <c r="AC91" i="1"/>
  <c r="Z91" i="1"/>
  <c r="AD90" i="1"/>
  <c r="AC90" i="1"/>
  <c r="Z90" i="1"/>
  <c r="AB109" i="1"/>
  <c r="AA109" i="1"/>
  <c r="AD115" i="1"/>
  <c r="AC115" i="1"/>
  <c r="Z115" i="1"/>
  <c r="Z114" i="1"/>
  <c r="AB119" i="1"/>
  <c r="AA119" i="1"/>
  <c r="AE119" i="1"/>
  <c r="Z89" i="1"/>
  <c r="Z96" i="1"/>
  <c r="Z99" i="1"/>
  <c r="Z103" i="1"/>
  <c r="Z106" i="1"/>
  <c r="Z110" i="1"/>
  <c r="Z113" i="1"/>
  <c r="Z120" i="1"/>
  <c r="AD123" i="1"/>
  <c r="AC123" i="1"/>
  <c r="Z127" i="1"/>
  <c r="Z121" i="1"/>
  <c r="K123" i="1"/>
  <c r="Z124" i="1"/>
  <c r="Z128" i="1"/>
  <c r="Z87" i="1"/>
  <c r="K93" i="1"/>
  <c r="K117" i="1"/>
  <c r="AA111" i="1"/>
  <c r="AE111" i="1"/>
  <c r="AA92" i="1"/>
  <c r="AA123" i="1"/>
  <c r="AB95" i="1"/>
  <c r="AA80" i="1"/>
  <c r="AE80" i="1"/>
  <c r="AE95" i="1"/>
  <c r="AA102" i="1"/>
  <c r="AE102" i="1"/>
  <c r="AE92" i="1"/>
  <c r="AA76" i="1"/>
  <c r="AE76" i="1"/>
  <c r="AE109" i="1"/>
  <c r="AE123" i="1"/>
  <c r="AA105" i="1"/>
  <c r="AE105" i="1"/>
  <c r="AE69" i="1"/>
  <c r="AA116" i="1"/>
  <c r="AE116" i="1"/>
  <c r="AA73" i="1"/>
  <c r="AE73" i="1"/>
  <c r="AA126" i="1"/>
  <c r="AE126" i="1"/>
  <c r="AA112" i="1"/>
  <c r="AE112" i="1"/>
  <c r="AE88" i="1"/>
  <c r="AA117" i="1"/>
  <c r="AE117" i="1"/>
  <c r="AB117" i="1"/>
  <c r="AB108" i="1"/>
  <c r="AA108" i="1"/>
  <c r="AE108" i="1"/>
  <c r="AB122" i="1"/>
  <c r="AA122" i="1"/>
  <c r="AE122" i="1"/>
  <c r="AB106" i="1"/>
  <c r="AA106" i="1"/>
  <c r="AE106" i="1"/>
  <c r="AB89" i="1"/>
  <c r="AA89" i="1"/>
  <c r="AE89" i="1"/>
  <c r="AA114" i="1"/>
  <c r="AE114" i="1"/>
  <c r="AB114" i="1"/>
  <c r="AA90" i="1"/>
  <c r="AE90" i="1"/>
  <c r="AB90" i="1"/>
  <c r="AA82" i="1"/>
  <c r="AE82" i="1"/>
  <c r="AB82" i="1"/>
  <c r="AA72" i="1"/>
  <c r="AE72" i="1"/>
  <c r="AB72" i="1"/>
  <c r="AB125" i="1"/>
  <c r="AA125" i="1"/>
  <c r="AE125" i="1"/>
  <c r="AA100" i="1"/>
  <c r="AE100" i="1"/>
  <c r="AB100" i="1"/>
  <c r="AA81" i="1"/>
  <c r="AE81" i="1"/>
  <c r="AB81" i="1"/>
  <c r="AA124" i="1"/>
  <c r="AE124" i="1"/>
  <c r="AB124" i="1"/>
  <c r="AB127" i="1"/>
  <c r="AA127" i="1"/>
  <c r="AE127" i="1"/>
  <c r="AB110" i="1"/>
  <c r="AA110" i="1"/>
  <c r="AE110" i="1"/>
  <c r="AB96" i="1"/>
  <c r="AA96" i="1"/>
  <c r="AE96" i="1"/>
  <c r="AA93" i="1"/>
  <c r="AE93" i="1"/>
  <c r="AB93" i="1"/>
  <c r="AB98" i="1"/>
  <c r="AA98" i="1"/>
  <c r="AE98" i="1"/>
  <c r="AB87" i="1"/>
  <c r="AA87" i="1"/>
  <c r="AE87" i="1"/>
  <c r="AB120" i="1"/>
  <c r="AA120" i="1"/>
  <c r="AE120" i="1"/>
  <c r="AB103" i="1"/>
  <c r="AA103" i="1"/>
  <c r="AE103" i="1"/>
  <c r="AB115" i="1"/>
  <c r="AA115" i="1"/>
  <c r="AE115" i="1"/>
  <c r="AB118" i="1"/>
  <c r="AA118" i="1"/>
  <c r="AE118" i="1"/>
  <c r="AA107" i="1"/>
  <c r="AE107" i="1"/>
  <c r="AB107" i="1"/>
  <c r="AA104" i="1"/>
  <c r="AE104" i="1"/>
  <c r="AB104" i="1"/>
  <c r="AB94" i="1"/>
  <c r="AA94" i="1"/>
  <c r="AE94" i="1"/>
  <c r="AB77" i="1"/>
  <c r="AA77" i="1"/>
  <c r="AE77" i="1"/>
  <c r="AB70" i="1"/>
  <c r="AA70" i="1"/>
  <c r="AE70" i="1"/>
  <c r="AA97" i="1"/>
  <c r="AE97" i="1"/>
  <c r="AB97" i="1"/>
  <c r="AB86" i="1"/>
  <c r="AA86" i="1"/>
  <c r="AE86" i="1"/>
  <c r="AB75" i="1"/>
  <c r="AA75" i="1"/>
  <c r="AE75" i="1"/>
  <c r="AB74" i="1"/>
  <c r="AA74" i="1"/>
  <c r="AE74" i="1"/>
  <c r="AA128" i="1"/>
  <c r="AE128" i="1"/>
  <c r="AB128" i="1"/>
  <c r="AA121" i="1"/>
  <c r="AE121" i="1"/>
  <c r="AB121" i="1"/>
  <c r="AB113" i="1"/>
  <c r="AA113" i="1"/>
  <c r="AE113" i="1"/>
  <c r="AB99" i="1"/>
  <c r="AA99" i="1"/>
  <c r="AE99" i="1"/>
  <c r="AB91" i="1"/>
  <c r="AA91" i="1"/>
  <c r="AE91" i="1"/>
  <c r="AA79" i="1"/>
  <c r="AE79" i="1"/>
  <c r="AB79" i="1"/>
  <c r="AA71" i="1"/>
  <c r="AE71" i="1"/>
  <c r="AB71" i="1"/>
  <c r="AB101" i="1"/>
  <c r="AA101" i="1"/>
  <c r="AE101" i="1"/>
  <c r="AA85" i="1"/>
  <c r="AE85" i="1"/>
  <c r="AB85" i="1"/>
  <c r="AA78" i="1"/>
  <c r="AE78" i="1"/>
  <c r="AB78" i="1"/>
  <c r="AB84" i="1"/>
  <c r="AA84" i="1"/>
  <c r="AE84" i="1"/>
  <c r="AE83" i="1"/>
  <c r="V9" i="1"/>
  <c r="M35" i="1"/>
  <c r="M36" i="1"/>
  <c r="M68" i="1"/>
  <c r="M65" i="1"/>
  <c r="M46" i="1"/>
  <c r="M50" i="1"/>
  <c r="M66" i="1"/>
  <c r="M53" i="1"/>
  <c r="M34" i="1"/>
  <c r="M40" i="1"/>
  <c r="M61" i="1"/>
  <c r="M42" i="1"/>
  <c r="M52" i="1"/>
  <c r="M17" i="1"/>
  <c r="M26" i="1"/>
  <c r="M24" i="1"/>
  <c r="M60" i="1"/>
  <c r="M19" i="1"/>
  <c r="M49" i="1"/>
  <c r="M32" i="1"/>
  <c r="M62" i="1"/>
  <c r="M22" i="1"/>
  <c r="M58" i="1"/>
  <c r="M20" i="1"/>
  <c r="M38" i="1"/>
  <c r="M48" i="1"/>
  <c r="M67" i="1"/>
  <c r="M29" i="1"/>
  <c r="M47" i="1"/>
  <c r="M64" i="1"/>
  <c r="M54" i="1"/>
  <c r="M41" i="1"/>
  <c r="M37" i="1"/>
  <c r="M25" i="1"/>
  <c r="M16" i="1"/>
  <c r="M56" i="1"/>
  <c r="M44" i="1"/>
  <c r="M43" i="1"/>
  <c r="M18" i="1"/>
  <c r="M30" i="1"/>
  <c r="M23" i="1"/>
  <c r="M59" i="1"/>
  <c r="M28" i="1"/>
  <c r="M55" i="1"/>
  <c r="M31" i="1"/>
  <c r="Z9" i="1"/>
  <c r="AB9" i="1"/>
  <c r="Z10" i="1"/>
  <c r="F221" i="13"/>
  <c r="F211" i="13"/>
  <c r="F212" i="13"/>
  <c r="F213" i="13"/>
  <c r="F214" i="13"/>
  <c r="F215" i="13"/>
  <c r="F216" i="13"/>
  <c r="F217" i="13"/>
  <c r="F218" i="13"/>
  <c r="F219" i="13"/>
  <c r="F220" i="13"/>
  <c r="F210" i="13"/>
  <c r="B221" i="13" a="1"/>
  <c r="B221" i="13"/>
  <c r="S51" i="1"/>
  <c r="S46" i="1"/>
  <c r="S40"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68" i="1"/>
  <c r="S68" i="1"/>
  <c r="V67" i="1"/>
  <c r="S67" i="1"/>
  <c r="V66" i="1"/>
  <c r="S66" i="1"/>
  <c r="V65" i="1"/>
  <c r="S65" i="1"/>
  <c r="V64" i="1"/>
  <c r="S64" i="1"/>
  <c r="V63" i="1"/>
  <c r="S63" i="1"/>
  <c r="J63" i="1"/>
  <c r="K63" i="1"/>
  <c r="V62" i="1"/>
  <c r="S62" i="1"/>
  <c r="V61" i="1"/>
  <c r="S61" i="1"/>
  <c r="V60" i="1"/>
  <c r="S60" i="1"/>
  <c r="V59" i="1"/>
  <c r="S59" i="1"/>
  <c r="V58" i="1"/>
  <c r="S58" i="1"/>
  <c r="V57" i="1"/>
  <c r="S57" i="1"/>
  <c r="J57" i="1"/>
  <c r="K57" i="1"/>
  <c r="V56" i="1"/>
  <c r="S56" i="1"/>
  <c r="V55" i="1"/>
  <c r="S55" i="1"/>
  <c r="V54" i="1"/>
  <c r="S54" i="1"/>
  <c r="V53" i="1"/>
  <c r="S53" i="1"/>
  <c r="V52" i="1"/>
  <c r="S52" i="1"/>
  <c r="V51" i="1"/>
  <c r="J51" i="1"/>
  <c r="K51" i="1"/>
  <c r="V50" i="1"/>
  <c r="S50" i="1"/>
  <c r="V49" i="1"/>
  <c r="S49" i="1"/>
  <c r="V48" i="1"/>
  <c r="S48" i="1"/>
  <c r="V47" i="1"/>
  <c r="S47" i="1"/>
  <c r="V46" i="1"/>
  <c r="V45" i="1"/>
  <c r="S45" i="1"/>
  <c r="J45" i="1"/>
  <c r="K45" i="1"/>
  <c r="V44" i="1"/>
  <c r="S44" i="1"/>
  <c r="V43" i="1"/>
  <c r="S43" i="1"/>
  <c r="V42" i="1"/>
  <c r="S42" i="1"/>
  <c r="V41" i="1"/>
  <c r="S41" i="1"/>
  <c r="V40" i="1"/>
  <c r="V39" i="1"/>
  <c r="S39" i="1"/>
  <c r="J39" i="1"/>
  <c r="K39" i="1"/>
  <c r="V38" i="1"/>
  <c r="S38" i="1"/>
  <c r="V37" i="1"/>
  <c r="S37" i="1"/>
  <c r="V36" i="1"/>
  <c r="S36" i="1"/>
  <c r="V35" i="1"/>
  <c r="S35" i="1"/>
  <c r="V34" i="1"/>
  <c r="S34" i="1"/>
  <c r="V33" i="1"/>
  <c r="S33" i="1"/>
  <c r="J33" i="1"/>
  <c r="K33" i="1"/>
  <c r="V32" i="1"/>
  <c r="S32" i="1"/>
  <c r="V31" i="1"/>
  <c r="S31" i="1"/>
  <c r="V30" i="1"/>
  <c r="S30" i="1"/>
  <c r="V29" i="1"/>
  <c r="S29" i="1"/>
  <c r="V28" i="1"/>
  <c r="S28" i="1"/>
  <c r="V27" i="1"/>
  <c r="S27" i="1"/>
  <c r="J27" i="1"/>
  <c r="K27" i="1"/>
  <c r="J15" i="1"/>
  <c r="S14" i="1"/>
  <c r="V20" i="1"/>
  <c r="S20" i="1"/>
  <c r="V19" i="1"/>
  <c r="S19" i="1"/>
  <c r="V18" i="1"/>
  <c r="S18" i="1"/>
  <c r="V17" i="1"/>
  <c r="S17" i="1"/>
  <c r="V15" i="1"/>
  <c r="S15" i="1"/>
  <c r="AD49" i="1"/>
  <c r="AC49" i="1"/>
  <c r="AD50" i="1"/>
  <c r="AC50" i="1"/>
  <c r="K15" i="1"/>
  <c r="Z15" i="1"/>
  <c r="Z63" i="1"/>
  <c r="Z57" i="1"/>
  <c r="Z51" i="1"/>
  <c r="Z45" i="1"/>
  <c r="Z49" i="1"/>
  <c r="Z50" i="1"/>
  <c r="Z39" i="1"/>
  <c r="Z33" i="1"/>
  <c r="Z27" i="1"/>
  <c r="AA63" i="1"/>
  <c r="AB63" i="1"/>
  <c r="Z64" i="1"/>
  <c r="AA64" i="1"/>
  <c r="AA57" i="1"/>
  <c r="AB57" i="1"/>
  <c r="Z58" i="1"/>
  <c r="AB58" i="1"/>
  <c r="Z59" i="1"/>
  <c r="AA51" i="1"/>
  <c r="AB51" i="1"/>
  <c r="Z52" i="1"/>
  <c r="AB52" i="1"/>
  <c r="Z53" i="1"/>
  <c r="AA50" i="1"/>
  <c r="AB50" i="1"/>
  <c r="AA49" i="1"/>
  <c r="AB49" i="1"/>
  <c r="AA45" i="1"/>
  <c r="AB45" i="1"/>
  <c r="AA39" i="1"/>
  <c r="AB39" i="1"/>
  <c r="Z40" i="1"/>
  <c r="AB40" i="1"/>
  <c r="Z41" i="1"/>
  <c r="AA33" i="1"/>
  <c r="AB33" i="1"/>
  <c r="AA27" i="1"/>
  <c r="AB27" i="1"/>
  <c r="Z28" i="1"/>
  <c r="AB28" i="1"/>
  <c r="Z29" i="1"/>
  <c r="AA29" i="1"/>
  <c r="AA15" i="1"/>
  <c r="AB15" i="1"/>
  <c r="AA58" i="1"/>
  <c r="AA52" i="1"/>
  <c r="AA40" i="1"/>
  <c r="AA28" i="1"/>
  <c r="AA41" i="1"/>
  <c r="AB41" i="1"/>
  <c r="AB59" i="1"/>
  <c r="Z60" i="1"/>
  <c r="AA59" i="1"/>
  <c r="AB53" i="1"/>
  <c r="Z54" i="1"/>
  <c r="AA53" i="1"/>
  <c r="AB64" i="1"/>
  <c r="Z65" i="1"/>
  <c r="Z34" i="1"/>
  <c r="Z46" i="1"/>
  <c r="Z47"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49" i="1"/>
  <c r="AE50" i="1"/>
  <c r="V13" i="1"/>
  <c r="V14" i="1"/>
  <c r="AA60" i="1"/>
  <c r="AB60" i="1"/>
  <c r="AA54" i="1"/>
  <c r="AB54" i="1"/>
  <c r="Z55" i="1"/>
  <c r="AA47" i="1"/>
  <c r="AB47" i="1"/>
  <c r="Z48" i="1"/>
  <c r="AA65" i="1"/>
  <c r="AB65" i="1"/>
  <c r="Z66" i="1"/>
  <c r="AA46" i="1"/>
  <c r="AB46" i="1"/>
  <c r="Z42" i="1"/>
  <c r="AA34" i="1"/>
  <c r="AB34" i="1"/>
  <c r="Z35" i="1"/>
  <c r="AA35" i="1"/>
  <c r="Z31" i="1"/>
  <c r="AA31" i="1"/>
  <c r="Z30" i="1"/>
  <c r="Z17" i="1"/>
  <c r="AA17" i="1"/>
  <c r="AB35" i="1"/>
  <c r="Z36" i="1"/>
  <c r="AB36" i="1"/>
  <c r="Z37" i="1"/>
  <c r="AA55" i="1"/>
  <c r="AB55" i="1"/>
  <c r="Z56" i="1"/>
  <c r="Z61" i="1"/>
  <c r="Z62" i="1"/>
  <c r="AA42" i="1"/>
  <c r="AB42" i="1"/>
  <c r="Z43" i="1"/>
  <c r="AA43" i="1"/>
  <c r="AA48" i="1"/>
  <c r="AB48" i="1"/>
  <c r="AB66" i="1"/>
  <c r="AA66" i="1"/>
  <c r="AA30" i="1"/>
  <c r="AB30" i="1"/>
  <c r="AB31" i="1"/>
  <c r="Z32" i="1"/>
  <c r="AB17" i="1"/>
  <c r="Z18" i="1"/>
  <c r="AA18" i="1"/>
  <c r="AA36" i="1"/>
  <c r="AA62" i="1"/>
  <c r="AB62" i="1"/>
  <c r="AA61" i="1"/>
  <c r="AB61" i="1"/>
  <c r="AA56" i="1"/>
  <c r="AB56" i="1"/>
  <c r="Z67" i="1"/>
  <c r="Z68" i="1"/>
  <c r="AB43" i="1"/>
  <c r="Z44" i="1"/>
  <c r="AA44" i="1"/>
  <c r="AB37" i="1"/>
  <c r="Z38" i="1"/>
  <c r="AA37" i="1"/>
  <c r="AA32" i="1"/>
  <c r="AB32" i="1"/>
  <c r="AB18" i="1"/>
  <c r="Z19" i="1"/>
  <c r="AB19" i="1"/>
  <c r="Z20" i="1"/>
  <c r="AA9" i="1"/>
  <c r="AA68" i="1"/>
  <c r="AB68" i="1"/>
  <c r="AA67" i="1"/>
  <c r="AB67" i="1"/>
  <c r="AA38" i="1"/>
  <c r="AB38" i="1"/>
  <c r="AB44" i="1"/>
  <c r="AA19" i="1"/>
  <c r="AA20" i="1"/>
  <c r="AB20" i="1"/>
  <c r="AA10" i="1"/>
  <c r="AB10" i="1"/>
  <c r="Z13" i="1"/>
  <c r="AA13" i="1"/>
  <c r="AB13" i="1"/>
  <c r="Z14" i="1"/>
  <c r="AA14" i="1"/>
  <c r="AB14" i="1"/>
  <c r="M9" i="1"/>
  <c r="N9" i="1"/>
  <c r="O9" i="1"/>
  <c r="M123" i="1"/>
  <c r="N123" i="1"/>
  <c r="M87" i="1"/>
  <c r="N87" i="1"/>
  <c r="M93" i="1"/>
  <c r="N93" i="1"/>
  <c r="M99" i="1"/>
  <c r="N99" i="1"/>
  <c r="M69" i="1"/>
  <c r="N69" i="1"/>
  <c r="M81" i="1"/>
  <c r="N81" i="1"/>
  <c r="M111" i="1"/>
  <c r="N111" i="1"/>
  <c r="M105" i="1"/>
  <c r="N105" i="1"/>
  <c r="M75" i="1"/>
  <c r="N75" i="1"/>
  <c r="M117" i="1"/>
  <c r="N117" i="1"/>
  <c r="M39" i="1"/>
  <c r="N39" i="1"/>
  <c r="M27" i="1"/>
  <c r="N27" i="1"/>
  <c r="M51" i="1"/>
  <c r="N51" i="1"/>
  <c r="M45" i="1"/>
  <c r="N45" i="1"/>
  <c r="M33" i="1"/>
  <c r="N33" i="1"/>
  <c r="M63" i="1"/>
  <c r="N63" i="1"/>
  <c r="M57" i="1"/>
  <c r="N57" i="1"/>
  <c r="M15" i="1"/>
  <c r="N15" i="1"/>
  <c r="O105" i="1"/>
  <c r="P105" i="1"/>
  <c r="O111" i="1"/>
  <c r="P111" i="1"/>
  <c r="O93" i="1"/>
  <c r="P93" i="1"/>
  <c r="O117" i="1"/>
  <c r="P117" i="1"/>
  <c r="O81" i="1"/>
  <c r="P81" i="1"/>
  <c r="O87" i="1"/>
  <c r="P87" i="1"/>
  <c r="P99" i="1"/>
  <c r="O99" i="1"/>
  <c r="O75" i="1"/>
  <c r="P75" i="1"/>
  <c r="O69" i="1"/>
  <c r="P69" i="1"/>
  <c r="O123" i="1"/>
  <c r="P123" i="1"/>
  <c r="Z42" i="18"/>
  <c r="N42" i="18"/>
  <c r="AF26" i="18"/>
  <c r="N26" i="18"/>
  <c r="AF18" i="18"/>
  <c r="T10" i="18"/>
  <c r="N34" i="18"/>
  <c r="T34" i="18"/>
  <c r="T18" i="18"/>
  <c r="Z18" i="18"/>
  <c r="Z10" i="18"/>
  <c r="AL18" i="18"/>
  <c r="Z26" i="18"/>
  <c r="P57" i="1"/>
  <c r="O57"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1" i="1"/>
  <c r="AJ42" i="18"/>
  <c r="AJ18" i="18"/>
  <c r="AD26" i="18"/>
  <c r="L10" i="18"/>
  <c r="AD10" i="18"/>
  <c r="X18" i="18"/>
  <c r="AD42" i="18"/>
  <c r="L18" i="18"/>
  <c r="R10" i="18"/>
  <c r="P51" i="1"/>
  <c r="O63" i="1"/>
  <c r="AD63" i="1"/>
  <c r="AB36" i="18"/>
  <c r="AH12" i="18"/>
  <c r="P28" i="18"/>
  <c r="AH20" i="18"/>
  <c r="P36" i="18"/>
  <c r="V12" i="18"/>
  <c r="AH28" i="18"/>
  <c r="AB20" i="18"/>
  <c r="J12" i="18"/>
  <c r="J20" i="18"/>
  <c r="P63"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Z30" i="18"/>
  <c r="AL38" i="18"/>
  <c r="AL14" i="18"/>
  <c r="AF6" i="18"/>
  <c r="AL22" i="18"/>
  <c r="T30" i="18"/>
  <c r="Z38" i="18"/>
  <c r="AF14" i="18"/>
  <c r="N30" i="18"/>
  <c r="N14" i="18"/>
  <c r="N22" i="18"/>
  <c r="AF38" i="18"/>
  <c r="T6" i="18"/>
  <c r="O33" i="1"/>
  <c r="X32" i="18"/>
  <c r="AD32" i="18"/>
  <c r="AJ8" i="18"/>
  <c r="L16" i="18"/>
  <c r="R32" i="18"/>
  <c r="AJ32" i="18"/>
  <c r="P33" i="1"/>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O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45" i="1"/>
  <c r="AH34" i="18"/>
  <c r="AH42" i="18"/>
  <c r="AH18" i="18"/>
  <c r="AB10" i="18"/>
  <c r="J26" i="18"/>
  <c r="V18" i="18"/>
  <c r="V42" i="18"/>
  <c r="J42" i="18"/>
  <c r="P10" i="18"/>
  <c r="AB26" i="18"/>
  <c r="J34" i="18"/>
  <c r="J18" i="18"/>
  <c r="AH10" i="18"/>
  <c r="AB34" i="18"/>
  <c r="P26" i="18"/>
  <c r="P34" i="18"/>
  <c r="V34" i="18"/>
  <c r="AH26" i="18"/>
  <c r="J10" i="18"/>
  <c r="P45" i="1"/>
  <c r="P18" i="18"/>
  <c r="AB42" i="18"/>
  <c r="V10" i="18"/>
  <c r="AB18" i="18"/>
  <c r="P42" i="18"/>
  <c r="V26" i="18"/>
  <c r="Z32" i="18"/>
  <c r="N24" i="18"/>
  <c r="AL32" i="18"/>
  <c r="AL40" i="18"/>
  <c r="N8" i="18"/>
  <c r="AF24" i="18"/>
  <c r="Z40" i="18"/>
  <c r="Z16" i="18"/>
  <c r="N32" i="18"/>
  <c r="T32" i="18"/>
  <c r="N40" i="18"/>
  <c r="T8" i="18"/>
  <c r="O39" i="1"/>
  <c r="AF32" i="18"/>
  <c r="AL8" i="18"/>
  <c r="T24" i="18"/>
  <c r="N16" i="18"/>
  <c r="T16" i="18"/>
  <c r="Z24" i="18"/>
  <c r="AF16" i="18"/>
  <c r="P39" i="1"/>
  <c r="T40" i="18"/>
  <c r="AF8" i="18"/>
  <c r="AL24" i="18"/>
  <c r="Z8" i="18"/>
  <c r="AF40" i="18"/>
  <c r="AL16" i="18"/>
  <c r="AD28" i="1"/>
  <c r="AD27" i="1"/>
  <c r="AC27" i="1"/>
  <c r="AC63" i="1"/>
  <c r="AD65" i="1"/>
  <c r="AD58" i="1"/>
  <c r="AD57" i="1"/>
  <c r="AD40" i="1"/>
  <c r="AD39" i="1"/>
  <c r="AC39" i="1"/>
  <c r="AD52" i="1"/>
  <c r="AD51" i="1"/>
  <c r="AC51" i="1"/>
  <c r="AC9" i="1"/>
  <c r="AD10" i="1"/>
  <c r="AD15" i="1"/>
  <c r="AC15" i="1"/>
  <c r="AD46" i="1"/>
  <c r="AD45" i="1"/>
  <c r="AC45" i="1"/>
  <c r="AD34" i="1"/>
  <c r="AD33" i="1"/>
  <c r="AC33" i="1"/>
  <c r="J40" i="19"/>
  <c r="V30" i="19"/>
  <c r="AH20" i="19"/>
  <c r="J30" i="19"/>
  <c r="V20" i="19"/>
  <c r="AH10" i="19"/>
  <c r="P10" i="19"/>
  <c r="AB50" i="19"/>
  <c r="J50" i="19"/>
  <c r="AB40" i="19"/>
  <c r="P30" i="19"/>
  <c r="V50" i="19"/>
  <c r="P50" i="19"/>
  <c r="AB10" i="19"/>
  <c r="AH30" i="19"/>
  <c r="AH40" i="19"/>
  <c r="J10" i="19"/>
  <c r="AB20" i="19"/>
  <c r="AH50" i="19"/>
  <c r="AE33" i="1"/>
  <c r="V10" i="19"/>
  <c r="P20" i="19"/>
  <c r="J20" i="19"/>
  <c r="P40" i="19"/>
  <c r="V40" i="19"/>
  <c r="AB30" i="19"/>
  <c r="J11" i="19"/>
  <c r="V11" i="19"/>
  <c r="AB21" i="19"/>
  <c r="P31" i="19"/>
  <c r="J31" i="19"/>
  <c r="AB41" i="19"/>
  <c r="AE39" i="1"/>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3" i="1"/>
  <c r="P25" i="19"/>
  <c r="V55" i="19"/>
  <c r="J15" i="19"/>
  <c r="AB15" i="19"/>
  <c r="J35" i="19"/>
  <c r="AB35" i="19"/>
  <c r="J55" i="19"/>
  <c r="AB25" i="19"/>
  <c r="P35" i="19"/>
  <c r="P55" i="19"/>
  <c r="AB45" i="19"/>
  <c r="P15" i="19"/>
  <c r="J47" i="19"/>
  <c r="V27" i="19"/>
  <c r="AH7" i="19"/>
  <c r="P47" i="19"/>
  <c r="AB27" i="19"/>
  <c r="J17" i="19"/>
  <c r="V47" i="19"/>
  <c r="J37" i="19"/>
  <c r="AE15" i="1"/>
  <c r="AB37" i="19"/>
  <c r="J27" i="19"/>
  <c r="V7" i="19"/>
  <c r="AH37" i="19"/>
  <c r="P27" i="19"/>
  <c r="AB7" i="19"/>
  <c r="P17" i="19"/>
  <c r="V17" i="19"/>
  <c r="AH47" i="19"/>
  <c r="P37" i="19"/>
  <c r="AB17" i="19"/>
  <c r="J7" i="19"/>
  <c r="V37" i="19"/>
  <c r="AH17" i="19"/>
  <c r="P7" i="19"/>
  <c r="AH27" i="19"/>
  <c r="AB47" i="19"/>
  <c r="AE51"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57" i="1"/>
  <c r="AD64" i="1"/>
  <c r="AC64"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C10" i="1"/>
  <c r="AC65" i="1"/>
  <c r="AD66" i="1"/>
  <c r="AD35" i="1"/>
  <c r="AC34" i="1"/>
  <c r="AC40" i="1"/>
  <c r="AD41" i="1"/>
  <c r="AC41" i="1"/>
  <c r="AD42" i="1"/>
  <c r="V32" i="19"/>
  <c r="P42" i="19"/>
  <c r="J12" i="19"/>
  <c r="J32" i="19"/>
  <c r="AB52" i="19"/>
  <c r="AE45" i="1"/>
  <c r="J22" i="19"/>
  <c r="V22" i="19"/>
  <c r="J52" i="19"/>
  <c r="AH12" i="19"/>
  <c r="J42" i="19"/>
  <c r="AH42" i="19"/>
  <c r="P32" i="19"/>
  <c r="AB12" i="19"/>
  <c r="AH32" i="19"/>
  <c r="AB32" i="19"/>
  <c r="AB42" i="19"/>
  <c r="V42" i="19"/>
  <c r="V12" i="19"/>
  <c r="V52" i="19"/>
  <c r="AB22" i="19"/>
  <c r="AH52" i="19"/>
  <c r="AH22" i="19"/>
  <c r="P22" i="19"/>
  <c r="P12" i="19"/>
  <c r="P52" i="19"/>
  <c r="AD47" i="1"/>
  <c r="AC47" i="1"/>
  <c r="AD48" i="1"/>
  <c r="AC48" i="1"/>
  <c r="AC46" i="1"/>
  <c r="AD17" i="1"/>
  <c r="AC52" i="1"/>
  <c r="AD53" i="1"/>
  <c r="AC58" i="1"/>
  <c r="AD59" i="1"/>
  <c r="AC28" i="1"/>
  <c r="AD29" i="1"/>
  <c r="W37" i="19"/>
  <c r="AI7" i="19"/>
  <c r="W17" i="19"/>
  <c r="W27" i="19"/>
  <c r="Q47" i="19"/>
  <c r="W7" i="19"/>
  <c r="AI17" i="19"/>
  <c r="K47" i="19"/>
  <c r="AI47" i="19"/>
  <c r="Q27" i="19"/>
  <c r="AC27" i="19"/>
  <c r="AC47" i="19"/>
  <c r="AC37" i="19"/>
  <c r="AI37" i="19"/>
  <c r="AC17" i="19"/>
  <c r="K37" i="19"/>
  <c r="AC7" i="19"/>
  <c r="W47" i="19"/>
  <c r="Q37" i="19"/>
  <c r="AI27" i="19"/>
  <c r="Q7" i="19"/>
  <c r="K27" i="19"/>
  <c r="K17" i="19"/>
  <c r="K7" i="19"/>
  <c r="Q17" i="19"/>
  <c r="AC66" i="1"/>
  <c r="AD67" i="1"/>
  <c r="K35" i="19"/>
  <c r="AC25" i="19"/>
  <c r="K45" i="19"/>
  <c r="AI45" i="19"/>
  <c r="W45" i="19"/>
  <c r="Q35" i="19"/>
  <c r="K55" i="19"/>
  <c r="AC15" i="19"/>
  <c r="Q15" i="19"/>
  <c r="AC35" i="19"/>
  <c r="AI35" i="19"/>
  <c r="Q55" i="19"/>
  <c r="AI25" i="19"/>
  <c r="AE64"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58"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40" i="1"/>
  <c r="AD55" i="19"/>
  <c r="R15" i="19"/>
  <c r="AJ35" i="19"/>
  <c r="AE65"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57"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47" i="1"/>
  <c r="AD12" i="19"/>
  <c r="AD32" i="19"/>
  <c r="AD22" i="19"/>
  <c r="X52" i="19"/>
  <c r="AD52" i="19"/>
  <c r="L42" i="19"/>
  <c r="R42" i="19"/>
  <c r="AJ21" i="19"/>
  <c r="AD31" i="19"/>
  <c r="R21" i="19"/>
  <c r="AD41" i="19"/>
  <c r="AJ11" i="19"/>
  <c r="AJ51" i="19"/>
  <c r="AE41" i="1"/>
  <c r="L41" i="19"/>
  <c r="AD11" i="19"/>
  <c r="L21" i="19"/>
  <c r="L11" i="19"/>
  <c r="X51" i="19"/>
  <c r="X21" i="19"/>
  <c r="R11" i="19"/>
  <c r="R31" i="19"/>
  <c r="AJ41" i="19"/>
  <c r="L31" i="19"/>
  <c r="R51" i="19"/>
  <c r="X31" i="19"/>
  <c r="X11" i="19"/>
  <c r="X41" i="19"/>
  <c r="AJ31" i="19"/>
  <c r="AD51" i="19"/>
  <c r="R41" i="19"/>
  <c r="AD21" i="19"/>
  <c r="L51" i="19"/>
  <c r="AD18" i="1"/>
  <c r="AC17" i="1"/>
  <c r="AC29" i="1"/>
  <c r="AD30" i="1"/>
  <c r="AC53" i="1"/>
  <c r="AD54" i="1"/>
  <c r="K42" i="19"/>
  <c r="AC32" i="19"/>
  <c r="W42" i="19"/>
  <c r="AI52" i="19"/>
  <c r="K22" i="19"/>
  <c r="Q32" i="19"/>
  <c r="AI12" i="19"/>
  <c r="AC52" i="19"/>
  <c r="Q42" i="19"/>
  <c r="AC42" i="19"/>
  <c r="K12" i="19"/>
  <c r="Q22" i="19"/>
  <c r="W52" i="19"/>
  <c r="AI42" i="19"/>
  <c r="W32" i="19"/>
  <c r="AI22" i="19"/>
  <c r="W12" i="19"/>
  <c r="AI32" i="19"/>
  <c r="AC12" i="19"/>
  <c r="Q12" i="19"/>
  <c r="Q52" i="19"/>
  <c r="AE46" i="1"/>
  <c r="K32" i="19"/>
  <c r="W22" i="19"/>
  <c r="K52" i="19"/>
  <c r="AC22" i="19"/>
  <c r="AC40" i="19"/>
  <c r="W10" i="19"/>
  <c r="AC50" i="19"/>
  <c r="Q10" i="19"/>
  <c r="Q30" i="19"/>
  <c r="W50" i="19"/>
  <c r="K40" i="19"/>
  <c r="Q50" i="19"/>
  <c r="W20" i="19"/>
  <c r="AE34"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C59" i="1"/>
  <c r="AD60"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2" i="1"/>
  <c r="Q33" i="19"/>
  <c r="AI23" i="19"/>
  <c r="K53" i="19"/>
  <c r="AC23" i="19"/>
  <c r="AC13" i="19"/>
  <c r="W23" i="19"/>
  <c r="W33" i="19"/>
  <c r="Q13" i="19"/>
  <c r="W13" i="19"/>
  <c r="AI13" i="19"/>
  <c r="Q43" i="19"/>
  <c r="Q23" i="19"/>
  <c r="W53" i="19"/>
  <c r="M12" i="19"/>
  <c r="AK42" i="19"/>
  <c r="AE32" i="19"/>
  <c r="AE48" i="1"/>
  <c r="M52" i="19"/>
  <c r="S12" i="19"/>
  <c r="M32" i="19"/>
  <c r="S52" i="19"/>
  <c r="Y52" i="19"/>
  <c r="Y42" i="19"/>
  <c r="AK12" i="19"/>
  <c r="S22" i="19"/>
  <c r="AE12" i="19"/>
  <c r="Y22" i="19"/>
  <c r="S32" i="19"/>
  <c r="AK52" i="19"/>
  <c r="M22" i="19"/>
  <c r="AK32" i="19"/>
  <c r="AE22" i="19"/>
  <c r="AE42" i="19"/>
  <c r="Y32" i="19"/>
  <c r="M42" i="19"/>
  <c r="Y12" i="19"/>
  <c r="AE52" i="19"/>
  <c r="AK22" i="19"/>
  <c r="S42" i="19"/>
  <c r="AC42" i="1"/>
  <c r="AD44" i="1"/>
  <c r="AC44" i="1"/>
  <c r="AD43" i="1"/>
  <c r="AC43" i="1"/>
  <c r="AC35" i="1"/>
  <c r="AD36" i="1"/>
  <c r="AD1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3" i="1"/>
  <c r="AD14" i="1"/>
  <c r="AC14" i="1"/>
  <c r="R40" i="19"/>
  <c r="AD10" i="19"/>
  <c r="X40" i="19"/>
  <c r="AJ10" i="19"/>
  <c r="R50" i="19"/>
  <c r="X10" i="19"/>
  <c r="R30" i="19"/>
  <c r="AE35" i="1"/>
  <c r="L10" i="19"/>
  <c r="L50" i="19"/>
  <c r="AJ20" i="19"/>
  <c r="AJ40" i="19"/>
  <c r="AD30" i="19"/>
  <c r="R20" i="19"/>
  <c r="AD50" i="19"/>
  <c r="AJ30" i="19"/>
  <c r="AJ50" i="19"/>
  <c r="X30" i="19"/>
  <c r="AD20" i="19"/>
  <c r="L40" i="19"/>
  <c r="X50" i="19"/>
  <c r="X20" i="19"/>
  <c r="AD40" i="19"/>
  <c r="R10" i="19"/>
  <c r="L30" i="19"/>
  <c r="L20" i="19"/>
  <c r="AC54" i="1"/>
  <c r="AD55" i="1"/>
  <c r="AC67" i="1"/>
  <c r="AD68" i="1"/>
  <c r="AC68"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J43" i="19"/>
  <c r="AD33" i="19"/>
  <c r="X33" i="19"/>
  <c r="X13" i="19"/>
  <c r="AD43" i="19"/>
  <c r="L43" i="19"/>
  <c r="AE53"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66"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3"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E44" i="1"/>
  <c r="AG11" i="19"/>
  <c r="AM41" i="19"/>
  <c r="AA21" i="19"/>
  <c r="AA51" i="19"/>
  <c r="U51" i="19"/>
  <c r="U31" i="19"/>
  <c r="AA11" i="19"/>
  <c r="AG21" i="19"/>
  <c r="O31" i="19"/>
  <c r="AC60" i="1"/>
  <c r="AD61" i="1"/>
  <c r="AC30" i="1"/>
  <c r="AD31" i="1"/>
  <c r="AC31" i="1"/>
  <c r="AD32" i="1"/>
  <c r="AC3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C36" i="1"/>
  <c r="AD37" i="1"/>
  <c r="AE11" i="19"/>
  <c r="Y41" i="19"/>
  <c r="M41" i="19"/>
  <c r="Y21" i="19"/>
  <c r="AK41" i="19"/>
  <c r="S31" i="19"/>
  <c r="M31" i="19"/>
  <c r="M51" i="19"/>
  <c r="Y51" i="19"/>
  <c r="AK21" i="19"/>
  <c r="AK31" i="19"/>
  <c r="Y11" i="19"/>
  <c r="AE41" i="19"/>
  <c r="AE21" i="19"/>
  <c r="S51" i="19"/>
  <c r="AE51" i="19"/>
  <c r="AK51" i="19"/>
  <c r="M21" i="19"/>
  <c r="AE31" i="19"/>
  <c r="AE42" i="1"/>
  <c r="S41" i="19"/>
  <c r="AK11" i="19"/>
  <c r="S11" i="19"/>
  <c r="Y31" i="19"/>
  <c r="S21" i="19"/>
  <c r="M11" i="19"/>
  <c r="L54" i="19"/>
  <c r="AJ14" i="19"/>
  <c r="AD44" i="19"/>
  <c r="X54" i="19"/>
  <c r="R14" i="19"/>
  <c r="AD24" i="19"/>
  <c r="AD34" i="19"/>
  <c r="R54" i="19"/>
  <c r="L34" i="19"/>
  <c r="AJ34" i="19"/>
  <c r="X24" i="19"/>
  <c r="AJ24" i="19"/>
  <c r="X44" i="19"/>
  <c r="R24" i="19"/>
  <c r="AE59"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37" i="1"/>
  <c r="AD38" i="1"/>
  <c r="AC38"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0"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E68" i="1"/>
  <c r="AG15" i="19"/>
  <c r="U15" i="19"/>
  <c r="AG55" i="19"/>
  <c r="U55" i="19"/>
  <c r="AE40" i="19"/>
  <c r="Y30" i="19"/>
  <c r="M20" i="19"/>
  <c r="AE36"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67"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55" i="1"/>
  <c r="AD56" i="1"/>
  <c r="AC56" i="1"/>
  <c r="AM46" i="19"/>
  <c r="U36" i="19"/>
  <c r="AG16" i="19"/>
  <c r="O6" i="19"/>
  <c r="AA36" i="19"/>
  <c r="AM16" i="19"/>
  <c r="U6" i="19"/>
  <c r="AG46" i="19"/>
  <c r="AA16" i="19"/>
  <c r="AE14" i="1"/>
  <c r="AA6" i="19"/>
  <c r="AG6" i="19"/>
  <c r="AA46" i="19"/>
  <c r="AM26" i="19"/>
  <c r="U16" i="19"/>
  <c r="O36" i="19"/>
  <c r="U26" i="19"/>
  <c r="O46" i="19"/>
  <c r="AA26" i="19"/>
  <c r="AM6" i="19"/>
  <c r="U46" i="19"/>
  <c r="AG26" i="19"/>
  <c r="O16" i="19"/>
  <c r="AG36" i="19"/>
  <c r="O26" i="19"/>
  <c r="AM36" i="19"/>
  <c r="AC61" i="1"/>
  <c r="AD62" i="1"/>
  <c r="AC62"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54" i="1"/>
  <c r="M33" i="19"/>
  <c r="AF6" i="19"/>
  <c r="N46" i="19"/>
  <c r="Z26" i="19"/>
  <c r="AL6" i="19"/>
  <c r="AL36" i="19"/>
  <c r="AF26" i="19"/>
  <c r="Z6" i="19"/>
  <c r="T26" i="19"/>
  <c r="Z46" i="19"/>
  <c r="AF46" i="19"/>
  <c r="T46" i="19"/>
  <c r="T6" i="19"/>
  <c r="AF36" i="19"/>
  <c r="N26" i="19"/>
  <c r="Z16" i="19"/>
  <c r="AL26" i="19"/>
  <c r="Z36" i="19"/>
  <c r="N36" i="19"/>
  <c r="AL46" i="19"/>
  <c r="T36" i="19"/>
  <c r="AF16" i="19"/>
  <c r="N6" i="19"/>
  <c r="N16" i="19"/>
  <c r="AE13" i="1"/>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2" i="1"/>
  <c r="AA14" i="19"/>
  <c r="O54" i="19"/>
  <c r="U44" i="19"/>
  <c r="U43" i="19"/>
  <c r="U13" i="19"/>
  <c r="AM53" i="19"/>
  <c r="AA53" i="19"/>
  <c r="AA43" i="19"/>
  <c r="O53" i="19"/>
  <c r="O23" i="19"/>
  <c r="O13" i="19"/>
  <c r="AG43" i="19"/>
  <c r="U33" i="19"/>
  <c r="U23" i="19"/>
  <c r="AM13" i="19"/>
  <c r="AM23" i="19"/>
  <c r="AG13" i="19"/>
  <c r="AA23" i="19"/>
  <c r="AG33" i="19"/>
  <c r="AA33" i="19"/>
  <c r="AM33" i="19"/>
  <c r="AA13" i="19"/>
  <c r="AE56"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1" i="1"/>
  <c r="AF53" i="19"/>
  <c r="T43" i="19"/>
  <c r="Z53" i="19"/>
  <c r="N43" i="19"/>
  <c r="T23" i="19"/>
  <c r="AF43" i="19"/>
  <c r="Z13" i="19"/>
  <c r="Z43" i="19"/>
  <c r="AF23" i="19"/>
  <c r="AL13" i="19"/>
  <c r="Z23" i="19"/>
  <c r="AL43" i="19"/>
  <c r="AF13" i="19"/>
  <c r="AL23" i="19"/>
  <c r="N13" i="19"/>
  <c r="T33" i="19"/>
  <c r="AL53" i="19"/>
  <c r="N23" i="19"/>
  <c r="N53" i="19"/>
  <c r="AF33" i="19"/>
  <c r="N33" i="19"/>
  <c r="AE55"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38"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37"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<sst xmlns="http://schemas.openxmlformats.org/spreadsheetml/2006/main" count="399" uniqueCount="240">
  <si>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</si>
  <si>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</si>
  <si>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</si>
  <si>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</si>
  <si>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</si>
  <si>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</si>
  <si>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</si>
  <si>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</si>
  <si>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</si>
  <si>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</si>
  <si>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</si>
  <si>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</si>
  <si>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</si>
  <si>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</si>
  <si>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</si>
  <si>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</si>
  <si>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</si>
  <si>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</si>
  <si>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</si>
  <si>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</si>
  <si>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</si>
  <si>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</si>
  <si>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</si>
  <si>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</si>
  <si>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</si>
  <si>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</si>
  <si>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</si>
  <si>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</si>
  <si>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</si>
  <si>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</si>
  <si>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</si>
  <si>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</si>
  <si>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</si>
  <si>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</si>
  <si>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</si>
  <si>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</si>
  <si>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</si>
  <si>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</si>
  <si>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</si>
  <si>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</si>
  <si>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</si>
  <si>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</si>
  <si>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</si>
  <si>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</si>
  <si>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</si>
  <si>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</si>
  <si>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</si>
  <si>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</si>
  <si>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</si>
  <si>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</si>
  <si>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</si>
  <si>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</si>
  <si>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</si>
  <si>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</si>
  <si>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</si>
  <si>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</si>
  <si>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</si>
  <si>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</si>
  <si>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</si>
  <si>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</si>
  <si>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</si>
  <si>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</si>
  <si>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</si>
  <si>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</si>
  <si>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</si>
  <si>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</si>
  <si>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</si>
  <si>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</si>
  <si>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</si>
  <si>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</si>
  <si>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</si>
  <si>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</si>
  <si>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</si>
  <si>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</si>
  <si>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</si>
  <si>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</si>
  <si>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</si>
  <si>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</si>
  <si>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</si>
  <si>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</si>
  <si>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</si>
  <si>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</si>
  <si>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</si>
  <si>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</si>
  <si>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</si>
  <si>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</si>
  <si>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</si>
  <si>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</si>
  <si>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</si>
  <si>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</si>
  <si>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</si>
  <si>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</si>
  <si>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</si>
  <si>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</si>
  <si>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</si>
  <si>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</si>
  <si>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</si>
  <si>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</si>
  <si>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</si>
  <si>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</si>
  <si>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</si>
  <si>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</si>
  <si>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</si>
  <si>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</si>
  <si>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</si>
  <si>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</si>
  <si>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</si>
  <si>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</si>
  <si>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</si>
  <si>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</si>
  <si>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</si>
  <si>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</si>
  <si>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</si>
  <si>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</si>
  <si>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</si>
  <si>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</si>
  <si>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</si>
  <si>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</si>
  <si>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</si>
  <si>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</si>
  <si>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</si>
  <si>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</si>
  <si>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</si>
  <si>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</si>
  <si>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</si>
  <si>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</si>
  <si>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</si>
  <si>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</si>
  <si>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</si>
  <si>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</si>
  <si>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</si>
  <si>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</si>
  <si>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</si>
  <si>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</si>
  <si>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</si>
  <si>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</si>
  <si>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</si>
  <si>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</si>
  <si>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</si>
  <si>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</si>
  <si>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</si>
  <si>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</si>
  <si>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</si>
  <si>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</si>
  <si>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</si>
  <si>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</si>
  <si>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</si>
  <si>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</si>
  <si>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</si>
  <si>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</si>
  <si>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</si>
  <si>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</si>
  <si>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</si>
  <si>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</si>
  <si>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</si>
  <si>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</si>
  <si>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</si>
  <si>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</si>
  <si>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</si>
  <si>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</si>
  <si>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</si>
  <si>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</si>
  <si>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</si>
  <si>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</si>
  <si>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</si>
  <si>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</si>
  <si>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</si>
  <si>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</si>
  <si>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</si>
  <si>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</si>
  <si>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</si>
  <si>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</si>
  <si>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</si>
  <si>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</si>
  <si>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</si>
  <si>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</si>
  <si>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</si>
  <si>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</si>
  <si>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</si>
  <si>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</si>
  <si>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</si>
  <si>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</si>
  <si>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</si>
  <si>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</si>
  <si>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</si>
  <si>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</si>
  <si>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</si>
  <si>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</si>
  <si>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</si>
  <si>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</si>
  <si>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</si>
  <si>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</si>
  <si>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</si>
  <si>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</si>
  <si>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</si>
  <si>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</si>
  <si>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</si>
  <si>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</si>
  <si>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</si>
  <si>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</si>
  <si>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</si>
  <si>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</si>
  <si>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</si>
  <si>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</si>
  <si>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</si>
  <si>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</si>
  <si>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</si>
  <si>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</si>
  <si>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</si>
  <si>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</si>
  <si>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</si>
  <si>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30/1272021</t>
  </si>
  <si>
    <t>Tecnológicos</t>
  </si>
  <si>
    <r>
      <t>Objetivo:</t>
    </r>
    <r>
      <rPr>
        <sz val="10"/>
        <rFont val="Arial Narrow"/>
        <family val="2"/>
      </rPr>
      <t xml:space="preserve"> Diseñar y ejecutar la politica de comunicación interna y externa de la Entidad, ajustada a las nuevas tecnologías de Información de la comunicación para contribuir con el cumplimiento de la misión y visión y el mejoramiento continuo del Instituto y ampliar la cobertura de nuestros programas institucionles.</t>
    </r>
  </si>
  <si>
    <r>
      <t>Alcance:</t>
    </r>
    <r>
      <rPr>
        <sz val="10"/>
        <rFont val="Arial Narrow"/>
        <family val="2"/>
      </rPr>
      <t>Identificar y analizar las necesidades de comunicación de la Entidad, definir la politica y los  lineamientos para la comunicación interna, externa, plan de medios, canales de comunicación, imagen corporativa, plan de comunicaciones, que permitan la difusión de nuestros programas y gestión institucional en términos de eficiencia y accesibilidad.</t>
    </r>
  </si>
  <si>
    <t>Proceso: Gestion de   Comunicación.</t>
  </si>
  <si>
    <t>INTERNOS
Financieros: Bajo presupuesto para el desarrollo de actividades de comunicación. 
Personal: Disponibilidad de personal activo 
Tecnología: desconocimiento de herramientas y aplicativos tecnológicos para el uso en las comunicaciones.
EXTERNOS
-Políticos: Cambio de gobierno con nuevos planes y proyectos de Desarrollo, Falta de continuidad en los contratistas, programas establecidos, Desconocimiento de la Entidad por parte de otros órganos de gobierno.
medio ambientales: clima
Sociales: imagen de la entidad, desconocimiento de los programas y proyectos por parte de la comunidad.
Comunicación Externa: Múltiples canales e interlocutores de la Entidad con los usuarios,  falta de coordinación de canales y medios.
Legal: Cambios legales y normativos aplicables a la Entidad y a los procesos
PROCESOS
-Interacciones con otros procesos: Relación precisa con otros procesos en cuanto a insumos, proveedores, productos, usuarios o clientes
-Transversalidad: entrega de información para comunicarla a la ciudadanía.
-Responsables del proceso: Grado de autoridad y responsabilidad de los funcionarios frente al proceso.
-Comunicación entre los procesos: Efectividad en los flujos de información determinados en la interacción de los procesos.</t>
  </si>
  <si>
    <t>Posibilidad reputacional que no se difunda  la información de la gestion instuticional y la ejecución de los progrmas deportivos en los tiempos estipulados de acuerdo al cronograma de actividades, debido  la no dispobibilidad de personal, recursos financiero y tecnológicos para tal fin.</t>
  </si>
  <si>
    <t xml:space="preserve">Dsiponibilidad del equipo de trabajo
Deficentes herramientas oportunas
Entrega inorptuna de la informacion para procesarla
inadecuada Información de contenido
Informacion no real y desvirtuada </t>
  </si>
  <si>
    <t>Imagen</t>
  </si>
  <si>
    <t>Posibilidad reputacional que no se difunda  la información de la gestion instuticional y la ejecución de los programas deportivos en los tiempos estipulados de acuerdo al cronograma de actividades</t>
  </si>
  <si>
    <t>Cronograma de actividades semanal de actividades de comunicación</t>
  </si>
  <si>
    <t>Monitoreo constante de la actividades</t>
  </si>
  <si>
    <t>Seguimiento y Monitoreo constante de la actividades</t>
  </si>
  <si>
    <t>Contratistas Gestion  de comuncaciones</t>
  </si>
  <si>
    <t xml:space="preserve">Seguimiento al plan de medios </t>
  </si>
  <si>
    <t>1. Debilidad en la socialización y en
la apropiación de la Política de
Comunicaciones en la entidad.
 2. Cambios  de  director y directrices  que
no dan continuidad a los lineamientos establecidos para
las comunicaciones</t>
  </si>
  <si>
    <t>Posibilidad de una inadecuada aplicación de la Política de Comunicaciones en la Entidad por
debilidad en la socialización y en la apropiación de la Política en la entidad y/o cambios administrativos que no dan continuidad a los lineaminetos
establecidos para las comunicaciones</t>
  </si>
  <si>
    <t xml:space="preserve">Posibilidad de una inadecuada aplicación de la Política de Comunicaciones en la Entidad </t>
  </si>
  <si>
    <t xml:space="preserve">Gestión del Área de Comunicaciones </t>
  </si>
  <si>
    <t xml:space="preserve">Políticas de Comunicación Interna y externa y Políticas de Operación
de Comunicación </t>
  </si>
  <si>
    <t>revisar  la política, con el fin de validar
su estado, y actualizarla en caso de ser
necesario</t>
  </si>
  <si>
    <t>,Realizar  el informe de seguimiento a la política de comunicaciones de forma anual,
contemplando los cambios administrativos
que afecten a la política y considerando una
actualización en caso de ser necesario</t>
  </si>
  <si>
    <t>Realizar la socialización de la política de
comunicaciones a la entidad a través del correo
informativo.</t>
  </si>
  <si>
    <t>Corrupción</t>
  </si>
  <si>
    <t xml:space="preserve">Posibilidad de apropiación indebida de la
información importante y reservada de la
entidad para ser usada por los medios
de comunicación por parte de un
funcionario y /o colaborador del área de
comunicaciones para beneficio propio o
de un tercero </t>
  </si>
  <si>
    <t xml:space="preserve">Manejo de informacion de
valor tanto para divulgacion en
medios como para extorsionar,
constreñir, secuestrar entre
otro tipo de delitos
Oferta de dadivas por información
Descuido y fuga de información
</t>
  </si>
  <si>
    <t>Publicar la información con la aprobación de los líder de los procesos</t>
  </si>
  <si>
    <t xml:space="preserve">Realizar matriz de flujo de información, valida toda la información que es autorizada por el responsable de proceso para su publicación de manera externa y que cuente con los lineamientos y directrices de la Dirección
General. </t>
  </si>
  <si>
    <t>Análisis del seguimiento al cronograma y planteamiento de acciones inmediatas.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</si>
</sst>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b/>
      <sz val="22"/>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91">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center" vertical="center"/>
      <protection locked="0"/>
    </xf>
    <xf numFmtId="0" fontId="1" fillId="0" borderId="61" xfId="0" applyFont="1" applyBorder="1" applyAlignment="1" applyProtection="1">
      <alignment horizontal="left" vertical="center" wrapText="1"/>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lignment horizontal="left" vertical="center" wrapText="1"/>
    </xf>
    <xf numFmtId="9" fontId="1" fillId="0" borderId="61"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left" vertical="top" wrapText="1"/>
    </xf>
    <xf numFmtId="0" fontId="1" fillId="0" borderId="64" xfId="0" applyFont="1" applyBorder="1" applyAlignment="1" applyProtection="1">
      <alignment horizontal="left" vertical="top" wrapText="1"/>
    </xf>
    <xf numFmtId="0" fontId="1" fillId="0" borderId="63" xfId="0" applyFont="1" applyBorder="1" applyAlignment="1" applyProtection="1">
      <alignment horizontal="left" vertical="top"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4" fillId="14" borderId="61" xfId="0" applyFont="1" applyFill="1" applyBorder="1" applyAlignment="1">
      <alignment horizontal="center" vertical="center"/>
    </xf>
    <xf numFmtId="0" fontId="25" fillId="14" borderId="61" xfId="0" applyFont="1" applyFill="1" applyBorder="1" applyAlignment="1">
      <alignment horizontal="center" vertical="center" textRotation="90"/>
    </xf>
    <xf numFmtId="0" fontId="1" fillId="0" borderId="62" xfId="0" applyFont="1" applyBorder="1" applyAlignment="1" applyProtection="1">
      <alignment horizontal="center" vertical="center"/>
    </xf>
    <xf numFmtId="0" fontId="1" fillId="0" borderId="64" xfId="0" applyFont="1" applyBorder="1" applyAlignment="1" applyProtection="1">
      <alignment horizontal="center" vertical="center"/>
    </xf>
    <xf numFmtId="0" fontId="1" fillId="0" borderId="63" xfId="0" applyFont="1" applyBorder="1" applyAlignment="1" applyProtection="1">
      <alignment horizontal="center" vertical="center"/>
    </xf>
    <xf numFmtId="0" fontId="2" fillId="0" borderId="62" xfId="0" applyFont="1" applyBorder="1" applyAlignment="1" applyProtection="1">
      <alignment horizontal="center" vertical="center" wrapText="1"/>
      <protection locked="0"/>
    </xf>
    <xf numFmtId="0" fontId="2" fillId="0" borderId="64" xfId="0" applyFont="1" applyBorder="1" applyAlignment="1" applyProtection="1">
      <alignment horizontal="center" vertical="center" wrapText="1"/>
      <protection locked="0"/>
    </xf>
    <xf numFmtId="0" fontId="2" fillId="0" borderId="63" xfId="0" applyFont="1" applyBorder="1" applyAlignment="1" applyProtection="1">
      <alignment horizontal="center" vertical="center" wrapText="1"/>
      <protection locked="0"/>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477">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31" zoomScale="98" zoomScaleNormal="98" workbookViewId="0">
      <selection activeCell="E22" sqref="E22:F22"/>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4" t="s">
        <v>159</v>
      </c>
      <c r="C2" s="165"/>
      <c r="D2" s="165"/>
      <c r="E2" s="165"/>
      <c r="F2" s="165"/>
      <c r="G2" s="165"/>
      <c r="H2" s="166"/>
    </row>
    <row r="3" spans="2:8" x14ac:dyDescent="0.25">
      <c r="B3" s="71"/>
      <c r="C3" s="72"/>
      <c r="D3" s="72"/>
      <c r="E3" s="72"/>
      <c r="F3" s="72"/>
      <c r="G3" s="72"/>
      <c r="H3" s="73"/>
    </row>
    <row r="4" spans="2:8" ht="63" customHeight="1" x14ac:dyDescent="0.25">
      <c r="B4" s="167" t="s">
        <v>186</v>
      </c>
      <c r="C4" s="168"/>
      <c r="D4" s="168"/>
      <c r="E4" s="168"/>
      <c r="F4" s="168"/>
      <c r="G4" s="168"/>
      <c r="H4" s="169"/>
    </row>
    <row r="5" spans="2:8" ht="63" customHeight="1" x14ac:dyDescent="0.25">
      <c r="B5" s="170"/>
      <c r="C5" s="171"/>
      <c r="D5" s="171"/>
      <c r="E5" s="171"/>
      <c r="F5" s="171"/>
      <c r="G5" s="171"/>
      <c r="H5" s="172"/>
    </row>
    <row r="6" spans="2:8" ht="16.5" x14ac:dyDescent="0.25">
      <c r="B6" s="173" t="s">
        <v>157</v>
      </c>
      <c r="C6" s="174"/>
      <c r="D6" s="174"/>
      <c r="E6" s="174"/>
      <c r="F6" s="174"/>
      <c r="G6" s="174"/>
      <c r="H6" s="175"/>
    </row>
    <row r="7" spans="2:8" ht="95.25" customHeight="1" x14ac:dyDescent="0.25">
      <c r="B7" s="183" t="s">
        <v>187</v>
      </c>
      <c r="C7" s="184"/>
      <c r="D7" s="184"/>
      <c r="E7" s="184"/>
      <c r="F7" s="184"/>
      <c r="G7" s="184"/>
      <c r="H7" s="185"/>
    </row>
    <row r="8" spans="2:8" ht="16.5" x14ac:dyDescent="0.25">
      <c r="B8" s="106"/>
      <c r="C8" s="107"/>
      <c r="D8" s="107"/>
      <c r="E8" s="107"/>
      <c r="F8" s="107"/>
      <c r="G8" s="107"/>
      <c r="H8" s="108"/>
    </row>
    <row r="9" spans="2:8" ht="16.5" customHeight="1" x14ac:dyDescent="0.25">
      <c r="B9" s="176" t="s">
        <v>179</v>
      </c>
      <c r="C9" s="177"/>
      <c r="D9" s="177"/>
      <c r="E9" s="177"/>
      <c r="F9" s="177"/>
      <c r="G9" s="177"/>
      <c r="H9" s="178"/>
    </row>
    <row r="10" spans="2:8" ht="44.25" customHeight="1" x14ac:dyDescent="0.25">
      <c r="B10" s="176"/>
      <c r="C10" s="177"/>
      <c r="D10" s="177"/>
      <c r="E10" s="177"/>
      <c r="F10" s="177"/>
      <c r="G10" s="177"/>
      <c r="H10" s="178"/>
    </row>
    <row r="11" spans="2:8" ht="15.75" thickBot="1" x14ac:dyDescent="0.3">
      <c r="B11" s="94"/>
      <c r="C11" s="97"/>
      <c r="D11" s="102"/>
      <c r="E11" s="103"/>
      <c r="F11" s="103"/>
      <c r="G11" s="104"/>
      <c r="H11" s="105"/>
    </row>
    <row r="12" spans="2:8" ht="15.75" thickTop="1" x14ac:dyDescent="0.25">
      <c r="B12" s="94"/>
      <c r="C12" s="179" t="s">
        <v>158</v>
      </c>
      <c r="D12" s="180"/>
      <c r="E12" s="181" t="s">
        <v>180</v>
      </c>
      <c r="F12" s="182"/>
      <c r="G12" s="97"/>
      <c r="H12" s="98"/>
    </row>
    <row r="13" spans="2:8" ht="81.599999999999994" customHeight="1" x14ac:dyDescent="0.25">
      <c r="B13" s="94"/>
      <c r="C13" s="186" t="s">
        <v>160</v>
      </c>
      <c r="D13" s="187"/>
      <c r="E13" s="188" t="s">
        <v>196</v>
      </c>
      <c r="F13" s="189"/>
      <c r="G13" s="97"/>
      <c r="H13" s="98"/>
    </row>
    <row r="14" spans="2:8" x14ac:dyDescent="0.25">
      <c r="B14" s="94"/>
      <c r="C14" s="192" t="s">
        <v>190</v>
      </c>
      <c r="D14" s="193"/>
      <c r="E14" s="158" t="s">
        <v>197</v>
      </c>
      <c r="F14" s="159"/>
      <c r="G14" s="97"/>
      <c r="H14" s="98"/>
    </row>
    <row r="15" spans="2:8" ht="32.25" customHeight="1" x14ac:dyDescent="0.25">
      <c r="B15" s="94"/>
      <c r="C15" s="190" t="s">
        <v>191</v>
      </c>
      <c r="D15" s="191"/>
      <c r="E15" s="158" t="s">
        <v>203</v>
      </c>
      <c r="F15" s="159"/>
      <c r="G15" s="97"/>
      <c r="H15" s="98"/>
    </row>
    <row r="16" spans="2:8" ht="28.5" customHeight="1" x14ac:dyDescent="0.25">
      <c r="B16" s="94"/>
      <c r="C16" s="160" t="s">
        <v>193</v>
      </c>
      <c r="D16" s="161"/>
      <c r="E16" s="162" t="s">
        <v>194</v>
      </c>
      <c r="F16" s="163"/>
      <c r="G16" s="97"/>
      <c r="H16" s="98"/>
    </row>
    <row r="17" spans="2:8" ht="32.25" customHeight="1" x14ac:dyDescent="0.25">
      <c r="B17" s="94"/>
      <c r="C17" s="145" t="s">
        <v>199</v>
      </c>
      <c r="D17" s="146"/>
      <c r="E17" s="158" t="s">
        <v>200</v>
      </c>
      <c r="F17" s="159"/>
      <c r="G17" s="97"/>
      <c r="H17" s="98"/>
    </row>
    <row r="18" spans="2:8" ht="72.75" customHeight="1" x14ac:dyDescent="0.25">
      <c r="B18" s="94"/>
      <c r="C18" s="160" t="s">
        <v>1</v>
      </c>
      <c r="D18" s="161"/>
      <c r="E18" s="162" t="s">
        <v>188</v>
      </c>
      <c r="F18" s="163"/>
      <c r="G18" s="97"/>
      <c r="H18" s="98"/>
    </row>
    <row r="19" spans="2:8" ht="64.5" customHeight="1" x14ac:dyDescent="0.25">
      <c r="B19" s="94"/>
      <c r="C19" s="160" t="s">
        <v>46</v>
      </c>
      <c r="D19" s="161"/>
      <c r="E19" s="162" t="s">
        <v>192</v>
      </c>
      <c r="F19" s="163"/>
      <c r="G19" s="147"/>
      <c r="H19" s="98"/>
    </row>
    <row r="20" spans="2:8" ht="62.25" customHeight="1" x14ac:dyDescent="0.25">
      <c r="B20" s="94"/>
      <c r="C20" s="160" t="s">
        <v>201</v>
      </c>
      <c r="D20" s="161"/>
      <c r="E20" s="162" t="s">
        <v>195</v>
      </c>
      <c r="F20" s="163"/>
      <c r="G20" s="147"/>
      <c r="H20" s="98"/>
    </row>
    <row r="21" spans="2:8" ht="71.25" customHeight="1" x14ac:dyDescent="0.25">
      <c r="B21" s="94"/>
      <c r="C21" s="160" t="s">
        <v>161</v>
      </c>
      <c r="D21" s="161"/>
      <c r="E21" s="162" t="s">
        <v>204</v>
      </c>
      <c r="F21" s="163"/>
      <c r="G21" s="147"/>
      <c r="H21" s="98"/>
    </row>
    <row r="22" spans="2:8" ht="55.5" customHeight="1" x14ac:dyDescent="0.25">
      <c r="B22" s="94"/>
      <c r="C22" s="194" t="s">
        <v>162</v>
      </c>
      <c r="D22" s="195"/>
      <c r="E22" s="162" t="s">
        <v>205</v>
      </c>
      <c r="F22" s="163"/>
      <c r="G22" s="148"/>
      <c r="H22" s="98"/>
    </row>
    <row r="23" spans="2:8" ht="42" customHeight="1" x14ac:dyDescent="0.25">
      <c r="B23" s="94"/>
      <c r="C23" s="194" t="s">
        <v>44</v>
      </c>
      <c r="D23" s="195"/>
      <c r="E23" s="162" t="s">
        <v>206</v>
      </c>
      <c r="F23" s="163"/>
      <c r="G23" s="97"/>
      <c r="H23" s="98"/>
    </row>
    <row r="24" spans="2:8" ht="59.25" customHeight="1" x14ac:dyDescent="0.25">
      <c r="B24" s="94"/>
      <c r="C24" s="194" t="s">
        <v>156</v>
      </c>
      <c r="D24" s="195"/>
      <c r="E24" s="162" t="s">
        <v>189</v>
      </c>
      <c r="F24" s="163"/>
      <c r="G24" s="97"/>
      <c r="H24" s="98"/>
    </row>
    <row r="25" spans="2:8" ht="23.25" customHeight="1" x14ac:dyDescent="0.25">
      <c r="B25" s="94"/>
      <c r="C25" s="194" t="s">
        <v>11</v>
      </c>
      <c r="D25" s="195"/>
      <c r="E25" s="162" t="s">
        <v>207</v>
      </c>
      <c r="F25" s="163"/>
      <c r="G25" s="97"/>
      <c r="H25" s="98"/>
    </row>
    <row r="26" spans="2:8" ht="30.75" customHeight="1" x14ac:dyDescent="0.25">
      <c r="B26" s="94"/>
      <c r="C26" s="194" t="s">
        <v>165</v>
      </c>
      <c r="D26" s="195"/>
      <c r="E26" s="162" t="s">
        <v>163</v>
      </c>
      <c r="F26" s="163"/>
      <c r="G26" s="97"/>
      <c r="H26" s="98"/>
    </row>
    <row r="27" spans="2:8" ht="35.25" customHeight="1" x14ac:dyDescent="0.25">
      <c r="B27" s="94"/>
      <c r="C27" s="194" t="s">
        <v>166</v>
      </c>
      <c r="D27" s="195"/>
      <c r="E27" s="162" t="s">
        <v>164</v>
      </c>
      <c r="F27" s="163"/>
      <c r="G27" s="97"/>
      <c r="H27" s="98"/>
    </row>
    <row r="28" spans="2:8" ht="33" customHeight="1" x14ac:dyDescent="0.25">
      <c r="B28" s="94"/>
      <c r="C28" s="194" t="s">
        <v>166</v>
      </c>
      <c r="D28" s="195"/>
      <c r="E28" s="162" t="s">
        <v>164</v>
      </c>
      <c r="F28" s="163"/>
      <c r="G28" s="97"/>
      <c r="H28" s="98"/>
    </row>
    <row r="29" spans="2:8" ht="30" customHeight="1" x14ac:dyDescent="0.25">
      <c r="B29" s="94"/>
      <c r="C29" s="194" t="s">
        <v>167</v>
      </c>
      <c r="D29" s="195"/>
      <c r="E29" s="162" t="s">
        <v>208</v>
      </c>
      <c r="F29" s="163"/>
      <c r="G29" s="97"/>
      <c r="H29" s="98"/>
    </row>
    <row r="30" spans="2:8" ht="35.25" customHeight="1" x14ac:dyDescent="0.25">
      <c r="B30" s="94"/>
      <c r="C30" s="194" t="s">
        <v>168</v>
      </c>
      <c r="D30" s="195"/>
      <c r="E30" s="162" t="s">
        <v>169</v>
      </c>
      <c r="F30" s="163"/>
      <c r="G30" s="97"/>
      <c r="H30" s="98"/>
    </row>
    <row r="31" spans="2:8" ht="31.5" customHeight="1" x14ac:dyDescent="0.25">
      <c r="B31" s="94"/>
      <c r="C31" s="194" t="s">
        <v>170</v>
      </c>
      <c r="D31" s="195"/>
      <c r="E31" s="162" t="s">
        <v>171</v>
      </c>
      <c r="F31" s="163"/>
      <c r="G31" s="97"/>
      <c r="H31" s="98"/>
    </row>
    <row r="32" spans="2:8" ht="35.25" customHeight="1" x14ac:dyDescent="0.25">
      <c r="B32" s="94"/>
      <c r="C32" s="194" t="s">
        <v>172</v>
      </c>
      <c r="D32" s="195"/>
      <c r="E32" s="162" t="s">
        <v>173</v>
      </c>
      <c r="F32" s="163"/>
      <c r="G32" s="97"/>
      <c r="H32" s="98"/>
    </row>
    <row r="33" spans="2:8" ht="59.25" customHeight="1" x14ac:dyDescent="0.25">
      <c r="B33" s="94"/>
      <c r="C33" s="194" t="s">
        <v>174</v>
      </c>
      <c r="D33" s="195"/>
      <c r="E33" s="162" t="s">
        <v>209</v>
      </c>
      <c r="F33" s="163"/>
      <c r="G33" s="97"/>
      <c r="H33" s="98"/>
    </row>
    <row r="34" spans="2:8" ht="41.45" customHeight="1" x14ac:dyDescent="0.25">
      <c r="B34" s="94"/>
      <c r="C34" s="194" t="s">
        <v>28</v>
      </c>
      <c r="D34" s="195"/>
      <c r="E34" s="162" t="s">
        <v>175</v>
      </c>
      <c r="F34" s="163"/>
      <c r="G34" s="97"/>
      <c r="H34" s="98"/>
    </row>
    <row r="35" spans="2:8" ht="96.6" customHeight="1" x14ac:dyDescent="0.25">
      <c r="B35" s="94"/>
      <c r="C35" s="194" t="s">
        <v>177</v>
      </c>
      <c r="D35" s="195"/>
      <c r="E35" s="162" t="s">
        <v>176</v>
      </c>
      <c r="F35" s="163"/>
      <c r="G35" s="97"/>
      <c r="H35" s="98"/>
    </row>
    <row r="36" spans="2:8" ht="52.15" customHeight="1" x14ac:dyDescent="0.25">
      <c r="B36" s="94"/>
      <c r="C36" s="194" t="s">
        <v>38</v>
      </c>
      <c r="D36" s="195"/>
      <c r="E36" s="162" t="s">
        <v>178</v>
      </c>
      <c r="F36" s="163"/>
      <c r="G36" s="97"/>
      <c r="H36" s="98"/>
    </row>
    <row r="37" spans="2:8" ht="12" customHeight="1" thickBot="1" x14ac:dyDescent="0.3">
      <c r="B37" s="94"/>
      <c r="C37" s="199"/>
      <c r="D37" s="200"/>
      <c r="E37" s="201"/>
      <c r="F37" s="202"/>
      <c r="G37" s="97"/>
      <c r="H37" s="98"/>
    </row>
    <row r="38" spans="2:8" ht="15.75" thickTop="1" x14ac:dyDescent="0.25">
      <c r="B38" s="94"/>
      <c r="C38" s="95"/>
      <c r="D38" s="95"/>
      <c r="E38" s="96"/>
      <c r="F38" s="96"/>
      <c r="G38" s="97"/>
      <c r="H38" s="98"/>
    </row>
    <row r="39" spans="2:8" ht="21" customHeight="1" x14ac:dyDescent="0.25">
      <c r="B39" s="196" t="s">
        <v>181</v>
      </c>
      <c r="C39" s="197"/>
      <c r="D39" s="197"/>
      <c r="E39" s="197"/>
      <c r="F39" s="197"/>
      <c r="G39" s="197"/>
      <c r="H39" s="198"/>
    </row>
    <row r="40" spans="2:8" ht="20.25" customHeight="1" x14ac:dyDescent="0.25">
      <c r="B40" s="196" t="s">
        <v>182</v>
      </c>
      <c r="C40" s="197"/>
      <c r="D40" s="197"/>
      <c r="E40" s="197"/>
      <c r="F40" s="197"/>
      <c r="G40" s="197"/>
      <c r="H40" s="198"/>
    </row>
    <row r="41" spans="2:8" ht="20.25" customHeight="1" x14ac:dyDescent="0.25">
      <c r="B41" s="196" t="s">
        <v>183</v>
      </c>
      <c r="C41" s="197"/>
      <c r="D41" s="197"/>
      <c r="E41" s="197"/>
      <c r="F41" s="197"/>
      <c r="G41" s="197"/>
      <c r="H41" s="198"/>
    </row>
    <row r="42" spans="2:8" ht="20.25" customHeight="1" x14ac:dyDescent="0.25">
      <c r="B42" s="196" t="s">
        <v>184</v>
      </c>
      <c r="C42" s="197"/>
      <c r="D42" s="197"/>
      <c r="E42" s="197"/>
      <c r="F42" s="197"/>
      <c r="G42" s="197"/>
      <c r="H42" s="198"/>
    </row>
    <row r="43" spans="2:8" x14ac:dyDescent="0.25">
      <c r="B43" s="196" t="s">
        <v>185</v>
      </c>
      <c r="C43" s="197"/>
      <c r="D43" s="197"/>
      <c r="E43" s="197"/>
      <c r="F43" s="197"/>
      <c r="G43" s="197"/>
      <c r="H43" s="198"/>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1"/>
  <sheetViews>
    <sheetView tabSelected="1" topLeftCell="Z16" zoomScale="60" zoomScaleNormal="60" workbookViewId="0">
      <selection activeCell="AG27" sqref="AG27"/>
    </sheetView>
  </sheetViews>
  <sheetFormatPr baseColWidth="10" defaultColWidth="11.42578125" defaultRowHeight="16.5" x14ac:dyDescent="0.3"/>
  <cols>
    <col min="1" max="1" width="6.42578125" style="128" customWidth="1"/>
    <col min="2" max="2" width="24.28515625" style="128" customWidth="1"/>
    <col min="3" max="3" width="76.7109375" style="128" customWidth="1"/>
    <col min="4" max="4" width="47"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31"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57.5703125" style="110" customWidth="1"/>
    <col min="34" max="34" width="31" style="110" customWidth="1"/>
    <col min="35" max="35" width="23.5703125" style="110" customWidth="1"/>
    <col min="36" max="36" width="20.5703125" style="110" customWidth="1"/>
    <col min="37" max="37" width="18.5703125" style="110" customWidth="1"/>
    <col min="38" max="38" width="21" style="110" customWidth="1"/>
    <col min="39" max="16384" width="11.42578125" style="110"/>
  </cols>
  <sheetData>
    <row r="1" spans="1:70" ht="35.25" customHeight="1" x14ac:dyDescent="0.3">
      <c r="A1" s="203" t="s">
        <v>137</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5"/>
      <c r="AM1" s="153"/>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06" t="s">
        <v>215</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8"/>
      <c r="AM2" s="153"/>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51" customHeight="1" x14ac:dyDescent="0.3">
      <c r="A3" s="206" t="s">
        <v>213</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8"/>
      <c r="AM3" s="153"/>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24" customHeight="1" x14ac:dyDescent="0.3">
      <c r="A4" s="206" t="s">
        <v>214</v>
      </c>
      <c r="B4" s="207"/>
      <c r="C4" s="207"/>
      <c r="D4" s="207"/>
      <c r="E4" s="207"/>
      <c r="F4" s="207"/>
      <c r="G4" s="207"/>
      <c r="H4" s="207"/>
      <c r="I4" s="207"/>
      <c r="J4" s="207"/>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8"/>
      <c r="AM4" s="153"/>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50"/>
      <c r="B5" s="150"/>
      <c r="C5" s="150"/>
      <c r="D5" s="150"/>
      <c r="E5" s="151"/>
      <c r="F5" s="151"/>
      <c r="G5" s="152"/>
      <c r="H5" s="152"/>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ht="26.25" customHeight="1" x14ac:dyDescent="0.3">
      <c r="A6" s="231" t="s">
        <v>133</v>
      </c>
      <c r="B6" s="231"/>
      <c r="C6" s="231"/>
      <c r="D6" s="231"/>
      <c r="E6" s="231"/>
      <c r="F6" s="231"/>
      <c r="G6" s="231"/>
      <c r="H6" s="231"/>
      <c r="I6" s="231"/>
      <c r="J6" s="231" t="s">
        <v>134</v>
      </c>
      <c r="K6" s="231"/>
      <c r="L6" s="231"/>
      <c r="M6" s="231"/>
      <c r="N6" s="231"/>
      <c r="O6" s="231"/>
      <c r="P6" s="231"/>
      <c r="Q6" s="231" t="s">
        <v>135</v>
      </c>
      <c r="R6" s="231"/>
      <c r="S6" s="231"/>
      <c r="T6" s="231"/>
      <c r="U6" s="231"/>
      <c r="V6" s="231"/>
      <c r="W6" s="231"/>
      <c r="X6" s="231"/>
      <c r="Y6" s="231"/>
      <c r="Z6" s="231" t="s">
        <v>136</v>
      </c>
      <c r="AA6" s="231"/>
      <c r="AB6" s="231"/>
      <c r="AC6" s="231"/>
      <c r="AD6" s="231"/>
      <c r="AE6" s="231"/>
      <c r="AF6" s="231"/>
      <c r="AG6" s="231" t="s">
        <v>33</v>
      </c>
      <c r="AH6" s="231"/>
      <c r="AI6" s="231"/>
      <c r="AJ6" s="231"/>
      <c r="AK6" s="231"/>
      <c r="AL6" s="231"/>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32" t="s">
        <v>0</v>
      </c>
      <c r="B7" s="143"/>
      <c r="C7" s="143"/>
      <c r="D7" s="230" t="s">
        <v>193</v>
      </c>
      <c r="E7" s="230" t="s">
        <v>199</v>
      </c>
      <c r="F7" s="142"/>
      <c r="G7" s="230" t="s">
        <v>46</v>
      </c>
      <c r="H7" s="209" t="s">
        <v>201</v>
      </c>
      <c r="I7" s="230" t="s">
        <v>129</v>
      </c>
      <c r="J7" s="230" t="s">
        <v>32</v>
      </c>
      <c r="K7" s="231" t="s">
        <v>4</v>
      </c>
      <c r="L7" s="230" t="s">
        <v>83</v>
      </c>
      <c r="M7" s="230" t="s">
        <v>88</v>
      </c>
      <c r="N7" s="230" t="s">
        <v>41</v>
      </c>
      <c r="O7" s="231" t="s">
        <v>4</v>
      </c>
      <c r="P7" s="230" t="s">
        <v>44</v>
      </c>
      <c r="Q7" s="229" t="s">
        <v>10</v>
      </c>
      <c r="R7" s="230" t="s">
        <v>156</v>
      </c>
      <c r="S7" s="230" t="s">
        <v>11</v>
      </c>
      <c r="T7" s="230" t="s">
        <v>7</v>
      </c>
      <c r="U7" s="230"/>
      <c r="V7" s="230"/>
      <c r="W7" s="230"/>
      <c r="X7" s="230"/>
      <c r="Y7" s="230"/>
      <c r="Z7" s="229" t="s">
        <v>132</v>
      </c>
      <c r="AA7" s="229" t="s">
        <v>42</v>
      </c>
      <c r="AB7" s="229" t="s">
        <v>4</v>
      </c>
      <c r="AC7" s="229" t="s">
        <v>43</v>
      </c>
      <c r="AD7" s="229" t="s">
        <v>4</v>
      </c>
      <c r="AE7" s="229" t="s">
        <v>45</v>
      </c>
      <c r="AF7" s="229" t="s">
        <v>28</v>
      </c>
      <c r="AG7" s="230" t="s">
        <v>33</v>
      </c>
      <c r="AH7" s="230" t="s">
        <v>34</v>
      </c>
      <c r="AI7" s="230" t="s">
        <v>35</v>
      </c>
      <c r="AJ7" s="230" t="s">
        <v>37</v>
      </c>
      <c r="AK7" s="230" t="s">
        <v>36</v>
      </c>
      <c r="AL7" s="230"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32"/>
      <c r="B8" s="144" t="s">
        <v>190</v>
      </c>
      <c r="C8" s="144" t="s">
        <v>202</v>
      </c>
      <c r="D8" s="230"/>
      <c r="E8" s="230"/>
      <c r="F8" s="142" t="s">
        <v>198</v>
      </c>
      <c r="G8" s="230"/>
      <c r="H8" s="210"/>
      <c r="I8" s="230"/>
      <c r="J8" s="230"/>
      <c r="K8" s="231"/>
      <c r="L8" s="230"/>
      <c r="M8" s="230"/>
      <c r="N8" s="231"/>
      <c r="O8" s="231"/>
      <c r="P8" s="230"/>
      <c r="Q8" s="229"/>
      <c r="R8" s="230"/>
      <c r="S8" s="230"/>
      <c r="T8" s="130" t="s">
        <v>12</v>
      </c>
      <c r="U8" s="130" t="s">
        <v>16</v>
      </c>
      <c r="V8" s="130" t="s">
        <v>27</v>
      </c>
      <c r="W8" s="130" t="s">
        <v>17</v>
      </c>
      <c r="X8" s="130" t="s">
        <v>20</v>
      </c>
      <c r="Y8" s="130" t="s">
        <v>23</v>
      </c>
      <c r="Z8" s="229"/>
      <c r="AA8" s="229"/>
      <c r="AB8" s="229"/>
      <c r="AC8" s="229"/>
      <c r="AD8" s="229"/>
      <c r="AE8" s="229"/>
      <c r="AF8" s="229"/>
      <c r="AG8" s="230"/>
      <c r="AH8" s="230"/>
      <c r="AI8" s="230"/>
      <c r="AJ8" s="230"/>
      <c r="AK8" s="230"/>
      <c r="AL8" s="230"/>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75.75" x14ac:dyDescent="0.25">
      <c r="A9" s="220">
        <v>1</v>
      </c>
      <c r="B9" s="226"/>
      <c r="C9" s="223" t="s">
        <v>216</v>
      </c>
      <c r="D9" s="221" t="s">
        <v>218</v>
      </c>
      <c r="E9" s="211" t="s">
        <v>220</v>
      </c>
      <c r="F9" s="211" t="s">
        <v>217</v>
      </c>
      <c r="G9" s="221" t="s">
        <v>219</v>
      </c>
      <c r="H9" s="212" t="s">
        <v>210</v>
      </c>
      <c r="I9" s="222">
        <v>300</v>
      </c>
      <c r="J9" s="218" t="str">
        <f>IF(I9&lt;=0,"",IF(I9&lt;=2,"Muy Baja",IF(I9&lt;=24,"Baja",IF(I9&lt;=500,"Media",IF(I9&lt;=5000,"Alta","Muy Alta")))))</f>
        <v>Media</v>
      </c>
      <c r="K9" s="217">
        <f>IF(J9="","",IF(J9="Muy Baja",0.2,IF(J9="Baja",0.4,IF(J9="Media",0.6,IF(J9="Alta",0.8,IF(J9="Muy Alta",1,))))))</f>
        <v>0.6</v>
      </c>
      <c r="L9" s="216" t="s">
        <v>149</v>
      </c>
      <c r="M9" s="217" t="str">
        <f>IF(NOT(ISERROR(MATCH(L9,'Tabla Impacto'!$B$221:$B$223,0))),'Tabla Impacto'!$F$223&amp;"Por favor no seleccionar los criterios de impacto(Afectación Económica o presupuestal y Pérdida Reputacional)",L9)</f>
        <v xml:space="preserve">     El riesgo afecta la imagen de de la entidad con efecto publicitario sostenido a nivel de sector administrativo, nivel departamental o municipal</v>
      </c>
      <c r="N9" s="218" t="str">
        <f>IF(OR(M9='Tabla Impacto'!$C$11,M9='Tabla Impacto'!$D$11),"Leve",IF(OR(M9='Tabla Impacto'!$C$12,M9='Tabla Impacto'!$D$12),"Menor",IF(OR(M9='Tabla Impacto'!$C$13,M9='Tabla Impacto'!$D$13),"Moderado",IF(OR(M9='Tabla Impacto'!$C$14,M9='Tabla Impacto'!$D$14),"Mayor",IF(OR(M9='Tabla Impacto'!$C$15,M9='Tabla Impacto'!$D$15),"Catastrófico","")))))</f>
        <v>Mayor</v>
      </c>
      <c r="O9" s="217">
        <f>IF(N9="","",IF(N9="Leve",0.2,IF(N9="Menor",0.4,IF(N9="Moderado",0.6,IF(N9="Mayor",0.8,IF(N9="Catastrófico",1,))))))</f>
        <v>0.8</v>
      </c>
      <c r="P9" s="219" t="s">
        <v>77</v>
      </c>
      <c r="Q9" s="113">
        <v>1</v>
      </c>
      <c r="R9" s="114" t="s">
        <v>221</v>
      </c>
      <c r="S9" s="115" t="str">
        <f>IF(OR(T9="Preventivo",T9="Detectivo"),"Probabilidad",IF(T9="Correctivo","Impacto",""))</f>
        <v>Probabilidad</v>
      </c>
      <c r="T9" s="116" t="s">
        <v>13</v>
      </c>
      <c r="U9" s="116" t="s">
        <v>8</v>
      </c>
      <c r="V9" s="117" t="str">
        <f>IF(AND(T9="Preventivo",U9="Automático"),"50%",IF(AND(T9="Preventivo",U9="Manual"),"40%",IF(AND(T9="Detectivo",U9="Automático"),"40%",IF(AND(T9="Detectivo",U9="Manual"),"30%",IF(AND(T9="Correctivo",U9="Automático"),"35%",IF(AND(T9="Correctivo",U9="Manual"),"25%",""))))))</f>
        <v>40%</v>
      </c>
      <c r="W9" s="116" t="s">
        <v>19</v>
      </c>
      <c r="X9" s="116" t="s">
        <v>21</v>
      </c>
      <c r="Y9" s="116" t="s">
        <v>115</v>
      </c>
      <c r="Z9" s="118">
        <f>IFERROR(IF(S9="Probabilidad",(K9-(+K9*V9)),IF(S9="Impacto",K9,"")),"")</f>
        <v>0.36</v>
      </c>
      <c r="AA9" s="119" t="str">
        <f>IFERROR(IF(Z9="","",IF(Z9&lt;=0.2,"Muy Baja",IF(Z9&lt;=0.4,"Baja",IF(Z9&lt;=0.6,"Media",IF(Z9&lt;=0.8,"Alta","Muy Alta"))))),"")</f>
        <v>Baja</v>
      </c>
      <c r="AB9" s="117">
        <f>+Z9</f>
        <v>0.36</v>
      </c>
      <c r="AC9" s="119" t="str">
        <f>IFERROR(IF(AD9="","",IF(AD9&lt;=0.2,"Leve",IF(AD9&lt;=0.4,"Menor",IF(AD9&lt;=0.6,"Moderado",IF(AD9&lt;=0.8,"Mayor","Catastrófico"))))),"")</f>
        <v>Mayor</v>
      </c>
      <c r="AD9" s="117">
        <f>IFERROR(IF(S9="Impacto",(O9-(+O9*V9)),IF(S9="Probabilidad",O9,"")),"")</f>
        <v>0.8</v>
      </c>
      <c r="AE9" s="120"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Alto</v>
      </c>
      <c r="AF9" s="116" t="s">
        <v>130</v>
      </c>
      <c r="AG9" s="114" t="s">
        <v>223</v>
      </c>
      <c r="AH9" s="149" t="s">
        <v>224</v>
      </c>
      <c r="AI9" s="123">
        <v>44423</v>
      </c>
      <c r="AJ9" s="123" t="s">
        <v>211</v>
      </c>
      <c r="AK9" s="121"/>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75.75" x14ac:dyDescent="0.3">
      <c r="A10" s="220"/>
      <c r="B10" s="227"/>
      <c r="C10" s="224"/>
      <c r="D10" s="221"/>
      <c r="E10" s="211"/>
      <c r="F10" s="211"/>
      <c r="G10" s="221"/>
      <c r="H10" s="213"/>
      <c r="I10" s="222"/>
      <c r="J10" s="218"/>
      <c r="K10" s="217"/>
      <c r="L10" s="216"/>
      <c r="M10" s="217">
        <f ca="1">IF(NOT(ISERROR(MATCH(L10,_xlfn.ANCHORARRAY(E21),0))),K23&amp;"Por favor no seleccionar los criterios de impacto",L10)</f>
        <v>0</v>
      </c>
      <c r="N10" s="218"/>
      <c r="O10" s="217"/>
      <c r="P10" s="219"/>
      <c r="Q10" s="113">
        <v>2</v>
      </c>
      <c r="R10" s="114" t="s">
        <v>222</v>
      </c>
      <c r="S10" s="115" t="str">
        <f>IF(OR(T10="Preventivo",T10="Detectivo"),"Probabilidad",IF(T10="Correctivo","Impacto",""))</f>
        <v>Impacto</v>
      </c>
      <c r="T10" s="116" t="s">
        <v>15</v>
      </c>
      <c r="U10" s="116" t="s">
        <v>8</v>
      </c>
      <c r="V10" s="117"/>
      <c r="W10" s="116" t="s">
        <v>18</v>
      </c>
      <c r="X10" s="116" t="s">
        <v>21</v>
      </c>
      <c r="Y10" s="116" t="s">
        <v>115</v>
      </c>
      <c r="Z10" s="118">
        <f>IFERROR(IF(AND(S9="Probabilidad",S10="Probabilidad"),(AB9-(+AB9*V10)),IF(S10="Probabilidad",(K9-(+K9*V10)),IF(S10="Impacto",AB9,""))),"")</f>
        <v>0.36</v>
      </c>
      <c r="AA10" s="119" t="str">
        <f t="shared" ref="AA10:AA68" si="0">IFERROR(IF(Z10="","",IF(Z10&lt;=0.2,"Muy Baja",IF(Z10&lt;=0.4,"Baja",IF(Z10&lt;=0.6,"Media",IF(Z10&lt;=0.8,"Alta","Muy Alta"))))),"")</f>
        <v>Baja</v>
      </c>
      <c r="AB10" s="117">
        <f t="shared" ref="AB10:AB14" si="1">+Z10</f>
        <v>0.36</v>
      </c>
      <c r="AC10" s="119" t="str">
        <f t="shared" ref="AC10:AC68" si="2">IFERROR(IF(AD10="","",IF(AD10&lt;=0.2,"Leve",IF(AD10&lt;=0.4,"Menor",IF(AD10&lt;=0.6,"Moderado",IF(AD10&lt;=0.8,"Mayor","Catastrófico"))))),"")</f>
        <v>Mayor</v>
      </c>
      <c r="AD10" s="117">
        <f>IFERROR(IF(AND(S9="Impacto",S10="Impacto"),(AD9-(+AD9*V10)),IF(S10="Impacto",($O$9-(+$O$9*V10)),IF(S10="Probabilidad",AD9,""))),"")</f>
        <v>0.8</v>
      </c>
      <c r="AE10" s="120" t="str">
        <f t="shared" ref="AE10:AE14"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Alto</v>
      </c>
      <c r="AF10" s="116" t="s">
        <v>130</v>
      </c>
      <c r="AG10" s="114" t="s">
        <v>225</v>
      </c>
      <c r="AH10" s="154" t="s">
        <v>224</v>
      </c>
      <c r="AI10" s="123">
        <v>44423</v>
      </c>
      <c r="AJ10" s="123" t="s">
        <v>211</v>
      </c>
      <c r="AK10" s="121"/>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x14ac:dyDescent="0.3">
      <c r="A11" s="220"/>
      <c r="B11" s="227"/>
      <c r="C11" s="224"/>
      <c r="D11" s="221"/>
      <c r="E11" s="211"/>
      <c r="F11" s="211"/>
      <c r="G11" s="221"/>
      <c r="H11" s="213"/>
      <c r="I11" s="222"/>
      <c r="J11" s="218"/>
      <c r="K11" s="217"/>
      <c r="L11" s="216"/>
      <c r="M11" s="217">
        <f ca="1">IF(NOT(ISERROR(MATCH(L11,_xlfn.ANCHORARRAY(E22),0))),K24&amp;"Por favor no seleccionar los criterios de impacto",L11)</f>
        <v>0</v>
      </c>
      <c r="N11" s="218"/>
      <c r="O11" s="217"/>
      <c r="P11" s="219"/>
      <c r="Q11" s="113">
        <v>3</v>
      </c>
      <c r="R11" s="126"/>
      <c r="S11" s="115"/>
      <c r="T11" s="116"/>
      <c r="U11" s="116"/>
      <c r="V11" s="117"/>
      <c r="W11" s="116"/>
      <c r="X11" s="116"/>
      <c r="Y11" s="116"/>
      <c r="Z11" s="118"/>
      <c r="AA11" s="119"/>
      <c r="AB11" s="117"/>
      <c r="AC11" s="119"/>
      <c r="AD11" s="117"/>
      <c r="AE11" s="120"/>
      <c r="AF11" s="116"/>
      <c r="AG11" s="121"/>
      <c r="AH11" s="149"/>
      <c r="AI11" s="123"/>
      <c r="AJ11" s="123"/>
      <c r="AK11" s="121"/>
      <c r="AL11" s="122"/>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x14ac:dyDescent="0.3">
      <c r="A12" s="220"/>
      <c r="B12" s="227"/>
      <c r="C12" s="224"/>
      <c r="D12" s="221"/>
      <c r="E12" s="211"/>
      <c r="F12" s="211"/>
      <c r="G12" s="221"/>
      <c r="H12" s="213"/>
      <c r="I12" s="222"/>
      <c r="J12" s="218"/>
      <c r="K12" s="217"/>
      <c r="L12" s="216"/>
      <c r="M12" s="217">
        <f ca="1">IF(NOT(ISERROR(MATCH(L12,_xlfn.ANCHORARRAY(E23),0))),K25&amp;"Por favor no seleccionar los criterios de impacto",L12)</f>
        <v>0</v>
      </c>
      <c r="N12" s="218"/>
      <c r="O12" s="217"/>
      <c r="P12" s="219"/>
      <c r="Q12" s="113">
        <v>4</v>
      </c>
      <c r="R12" s="114"/>
      <c r="S12" s="115"/>
      <c r="T12" s="116"/>
      <c r="U12" s="116"/>
      <c r="V12" s="117"/>
      <c r="W12" s="116"/>
      <c r="X12" s="116"/>
      <c r="Y12" s="116"/>
      <c r="Z12" s="118"/>
      <c r="AA12" s="119"/>
      <c r="AB12" s="117"/>
      <c r="AC12" s="119"/>
      <c r="AD12" s="117"/>
      <c r="AE12" s="120"/>
      <c r="AF12" s="116"/>
      <c r="AG12" s="121"/>
      <c r="AH12" s="12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20"/>
      <c r="B13" s="227"/>
      <c r="C13" s="224"/>
      <c r="D13" s="221"/>
      <c r="E13" s="211"/>
      <c r="F13" s="211"/>
      <c r="G13" s="221"/>
      <c r="H13" s="213"/>
      <c r="I13" s="222"/>
      <c r="J13" s="218"/>
      <c r="K13" s="217"/>
      <c r="L13" s="216"/>
      <c r="M13" s="217">
        <f ca="1">IF(NOT(ISERROR(MATCH(L13,_xlfn.ANCHORARRAY(E24),0))),K26&amp;"Por favor no seleccionar los criterios de impacto",L13)</f>
        <v>0</v>
      </c>
      <c r="N13" s="218"/>
      <c r="O13" s="217"/>
      <c r="P13" s="219"/>
      <c r="Q13" s="113">
        <v>5</v>
      </c>
      <c r="R13" s="114"/>
      <c r="S13" s="115" t="str">
        <f t="shared" ref="S13" si="4">IF(OR(T13="Preventivo",T13="Detectivo"),"Probabilidad",IF(T13="Correctivo","Impacto",""))</f>
        <v/>
      </c>
      <c r="T13" s="116"/>
      <c r="U13" s="116"/>
      <c r="V13" s="117" t="str">
        <f t="shared" ref="V13:V14" si="5">IF(AND(T13="Preventivo",U13="Automático"),"50%",IF(AND(T13="Preventivo",U13="Manual"),"40%",IF(AND(T13="Detectivo",U13="Automático"),"40%",IF(AND(T13="Detectivo",U13="Manual"),"30%",IF(AND(T13="Correctivo",U13="Automático"),"35%",IF(AND(T13="Correctivo",U13="Manual"),"25%",""))))))</f>
        <v/>
      </c>
      <c r="W13" s="116"/>
      <c r="X13" s="116"/>
      <c r="Y13" s="116"/>
      <c r="Z13" s="118" t="str">
        <f t="shared" ref="Z13:Z14" si="6">IFERROR(IF(AND(S12="Probabilidad",S13="Probabilidad"),(AB12-(+AB12*V13)),IF(AND(S12="Impacto",S13="Probabilidad"),(AB11-(+AB11*V13)),IF(S13="Impacto",AB12,""))),"")</f>
        <v/>
      </c>
      <c r="AA13" s="119" t="str">
        <f t="shared" si="0"/>
        <v/>
      </c>
      <c r="AB13" s="117" t="str">
        <f t="shared" si="1"/>
        <v/>
      </c>
      <c r="AC13" s="119" t="str">
        <f t="shared" si="2"/>
        <v/>
      </c>
      <c r="AD13" s="117" t="str">
        <f t="shared" ref="AD13:AD14" si="7">IFERROR(IF(AND(S12="Impacto",S13="Impacto"),(AD12-(+AD12*V13)),IF(AND(S12="Probabilidad",S13="Impacto"),(AD11-(+AD11*V13)),IF(S13="Probabilidad",AD12,""))),"")</f>
        <v/>
      </c>
      <c r="AE13" s="120" t="str">
        <f t="shared" si="3"/>
        <v/>
      </c>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77" customHeight="1" x14ac:dyDescent="0.3">
      <c r="A14" s="220"/>
      <c r="B14" s="228"/>
      <c r="C14" s="225"/>
      <c r="D14" s="221"/>
      <c r="E14" s="211"/>
      <c r="F14" s="211"/>
      <c r="G14" s="221"/>
      <c r="H14" s="214"/>
      <c r="I14" s="222"/>
      <c r="J14" s="218"/>
      <c r="K14" s="217"/>
      <c r="L14" s="216"/>
      <c r="M14" s="217">
        <f ca="1">IF(NOT(ISERROR(MATCH(L14,_xlfn.ANCHORARRAY(E25),0))),K27&amp;"Por favor no seleccionar los criterios de impacto",L14)</f>
        <v>0</v>
      </c>
      <c r="N14" s="218"/>
      <c r="O14" s="217"/>
      <c r="P14" s="219"/>
      <c r="Q14" s="113">
        <v>6</v>
      </c>
      <c r="R14" s="114"/>
      <c r="S14" s="115" t="str">
        <f t="shared" ref="S14" si="8">IF(OR(T14="Preventivo",T14="Detectivo"),"Probabilidad",IF(T14="Correctivo","Impacto",""))</f>
        <v/>
      </c>
      <c r="T14" s="116"/>
      <c r="U14" s="116"/>
      <c r="V14" s="117" t="str">
        <f t="shared" si="5"/>
        <v/>
      </c>
      <c r="W14" s="116"/>
      <c r="X14" s="116"/>
      <c r="Y14" s="116"/>
      <c r="Z14" s="118" t="str">
        <f t="shared" si="6"/>
        <v/>
      </c>
      <c r="AA14" s="119" t="str">
        <f t="shared" si="0"/>
        <v/>
      </c>
      <c r="AB14" s="117" t="str">
        <f t="shared" si="1"/>
        <v/>
      </c>
      <c r="AC14" s="119" t="str">
        <f t="shared" si="2"/>
        <v/>
      </c>
      <c r="AD14" s="117" t="str">
        <f t="shared" si="7"/>
        <v/>
      </c>
      <c r="AE14" s="120" t="str">
        <f t="shared" si="3"/>
        <v/>
      </c>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75.75" x14ac:dyDescent="0.3">
      <c r="A15" s="220">
        <v>2</v>
      </c>
      <c r="B15" s="226"/>
      <c r="C15" s="223" t="s">
        <v>216</v>
      </c>
      <c r="D15" s="221" t="s">
        <v>226</v>
      </c>
      <c r="E15" s="211" t="s">
        <v>228</v>
      </c>
      <c r="F15" s="211" t="s">
        <v>227</v>
      </c>
      <c r="G15" s="221" t="s">
        <v>212</v>
      </c>
      <c r="H15" s="212" t="s">
        <v>210</v>
      </c>
      <c r="I15" s="222">
        <v>50</v>
      </c>
      <c r="J15" s="218" t="str">
        <f>IF(I15&lt;=0,"",IF(I15&lt;=2,"Muy Baja",IF(I15&lt;=24,"Baja",IF(I15&lt;=500,"Media",IF(I15&lt;=5000,"Alta","Muy Alta")))))</f>
        <v>Media</v>
      </c>
      <c r="K15" s="217">
        <f>IF(J15="","",IF(J15="Muy Baja",0.2,IF(J15="Baja",0.4,IF(J15="Media",0.6,IF(J15="Alta",0.8,IF(J15="Muy Alta",1,))))))</f>
        <v>0.6</v>
      </c>
      <c r="L15" s="216" t="s">
        <v>146</v>
      </c>
      <c r="M15" s="217" t="str">
        <f>IF(NOT(ISERROR(MATCH(L15,'Tabla Impacto'!$B$221:$B$223,0))),'Tabla Impacto'!$F$223&amp;"Por favor no seleccionar los criterios de impacto(Afectación Económica o presupuestal y Pérdida Reputacional)",L15)</f>
        <v xml:space="preserve">     El riesgo afecta la imagen de alguna área de la organización</v>
      </c>
      <c r="N15" s="218" t="str">
        <f>IF(OR(M15='Tabla Impacto'!$C$11,M15='Tabla Impacto'!$D$11),"Leve",IF(OR(M15='Tabla Impacto'!$C$12,M15='Tabla Impacto'!$D$12),"Menor",IF(OR(M15='Tabla Impacto'!$C$13,M15='Tabla Impacto'!$D$13),"Moderado",IF(OR(M15='Tabla Impacto'!$C$14,M15='Tabla Impacto'!$D$14),"Mayor",IF(OR(M15='Tabla Impacto'!$C$15,M15='Tabla Impacto'!$D$15),"Catastrófico","")))))</f>
        <v>Leve</v>
      </c>
      <c r="O15" s="217">
        <f>IF(N15="","",IF(N15="Leve",0.2,IF(N15="Menor",0.4,IF(N15="Moderado",0.6,IF(N15="Mayor",0.8,IF(N15="Catastrófico",1,))))))</f>
        <v>0.2</v>
      </c>
      <c r="P15" s="219" t="str">
        <f>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Moderado</v>
      </c>
      <c r="Q15" s="113">
        <v>1</v>
      </c>
      <c r="R15" s="114" t="s">
        <v>230</v>
      </c>
      <c r="S15" s="115" t="str">
        <f>IF(OR(T15="Preventivo",T15="Detectivo"),"Probabilidad",IF(T15="Correctivo","Impacto",""))</f>
        <v>Impacto</v>
      </c>
      <c r="T15" s="116" t="s">
        <v>15</v>
      </c>
      <c r="U15" s="116" t="s">
        <v>8</v>
      </c>
      <c r="V15" s="117" t="str">
        <f>IF(AND(T15="Preventivo",U15="Automático"),"50%",IF(AND(T15="Preventivo",U15="Manual"),"40%",IF(AND(T15="Detectivo",U15="Automático"),"40%",IF(AND(T15="Detectivo",U15="Manual"),"30%",IF(AND(T15="Correctivo",U15="Automático"),"35%",IF(AND(T15="Correctivo",U15="Manual"),"25%",""))))))</f>
        <v>25%</v>
      </c>
      <c r="W15" s="116" t="s">
        <v>18</v>
      </c>
      <c r="X15" s="116" t="s">
        <v>21</v>
      </c>
      <c r="Y15" s="116" t="s">
        <v>116</v>
      </c>
      <c r="Z15" s="118">
        <f>IFERROR(IF(S15="Probabilidad",(K15-(+K15*V15)),IF(S15="Impacto",K15,"")),"")</f>
        <v>0.6</v>
      </c>
      <c r="AA15" s="119" t="str">
        <f>IFERROR(IF(Z15="","",IF(Z15&lt;=0.2,"Muy Baja",IF(Z15&lt;=0.4,"Baja",IF(Z15&lt;=0.6,"Media",IF(Z15&lt;=0.8,"Alta","Muy Alta"))))),"")</f>
        <v>Media</v>
      </c>
      <c r="AB15" s="117">
        <f>+Z15</f>
        <v>0.6</v>
      </c>
      <c r="AC15" s="119" t="str">
        <f>IFERROR(IF(AD15="","",IF(AD15&lt;=0.2,"Leve",IF(AD15&lt;=0.4,"Menor",IF(AD15&lt;=0.6,"Moderado",IF(AD15&lt;=0.8,"Mayor","Catastrófico"))))),"")</f>
        <v>Leve</v>
      </c>
      <c r="AD15" s="117">
        <f>IFERROR(IF(S15="Impacto",(O15-(+O15*V15)),IF(S15="Probabilidad",O15,"")),"")</f>
        <v>0.15000000000000002</v>
      </c>
      <c r="AE15" s="120" t="str">
        <f>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21" t="s">
        <v>231</v>
      </c>
      <c r="AH15" s="154" t="s">
        <v>224</v>
      </c>
      <c r="AI15" s="123">
        <v>44423</v>
      </c>
      <c r="AJ15" s="123" t="s">
        <v>211</v>
      </c>
      <c r="AK15" s="121"/>
      <c r="AL15" s="122" t="s">
        <v>39</v>
      </c>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100.5" customHeight="1" x14ac:dyDescent="0.3">
      <c r="A16" s="220"/>
      <c r="B16" s="227"/>
      <c r="C16" s="224"/>
      <c r="D16" s="221"/>
      <c r="E16" s="211"/>
      <c r="F16" s="211"/>
      <c r="G16" s="221"/>
      <c r="H16" s="213"/>
      <c r="I16" s="222"/>
      <c r="J16" s="218"/>
      <c r="K16" s="217"/>
      <c r="L16" s="216"/>
      <c r="M16" s="217">
        <f ca="1">IF(NOT(ISERROR(MATCH(L16,_xlfn.ANCHORARRAY(E27),0))),K29&amp;"Por favor no seleccionar los criterios de impacto",L16)</f>
        <v>0</v>
      </c>
      <c r="N16" s="218"/>
      <c r="O16" s="217"/>
      <c r="P16" s="219"/>
      <c r="Q16" s="113">
        <v>2</v>
      </c>
      <c r="R16" s="114" t="s">
        <v>229</v>
      </c>
      <c r="S16" s="115" t="str">
        <f>IF(OR(T16="Preventivo",T16="Detectivo"),"Probabilidad",IF(T16="Correctivo","Impacto",""))</f>
        <v>Impacto</v>
      </c>
      <c r="T16" s="116" t="s">
        <v>15</v>
      </c>
      <c r="U16" s="116" t="s">
        <v>8</v>
      </c>
      <c r="V16" s="117" t="str">
        <f>IF(AND(T16="Preventivo",U16="Automático"),"50%",IF(AND(T16="Preventivo",U16="Manual"),"40%",IF(AND(T16="Detectivo",U16="Automático"),"40%",IF(AND(T16="Detectivo",U16="Manual"),"30%",IF(AND(T16="Correctivo",U16="Automático"),"35%",IF(AND(T16="Correctivo",U16="Manual"),"25%",""))))))</f>
        <v>25%</v>
      </c>
      <c r="W16" s="116" t="s">
        <v>18</v>
      </c>
      <c r="X16" s="116" t="s">
        <v>21</v>
      </c>
      <c r="Y16" s="116" t="s">
        <v>116</v>
      </c>
      <c r="Z16" s="118">
        <f>IFERROR(IF(S16="Probabilidad",(K16-(+K16*V16)),IF(S16="Impacto",K16,"")),"")</f>
        <v>0</v>
      </c>
      <c r="AA16" s="119" t="str">
        <f>IFERROR(IF(Z16="","",IF(Z16&lt;=0.2,"Muy Baja",IF(Z16&lt;=0.4,"Baja",IF(Z16&lt;=0.6,"Media",IF(Z16&lt;=0.8,"Alta","Muy Alta"))))),"")</f>
        <v>Muy Baja</v>
      </c>
      <c r="AB16" s="117">
        <f>+Z16</f>
        <v>0</v>
      </c>
      <c r="AC16" s="119" t="str">
        <f>IFERROR(IF(AD16="","",IF(AD16&lt;=0.2,"Leve",IF(AD16&lt;=0.4,"Menor",IF(AD16&lt;=0.6,"Moderado",IF(AD16&lt;=0.8,"Mayor","Catastrófico"))))),"")</f>
        <v>Leve</v>
      </c>
      <c r="AD16" s="117">
        <f>IFERROR(IF(S16="Impacto",(O16-(+O16*V16)),IF(S16="Probabilidad",O16,"")),"")</f>
        <v>0</v>
      </c>
      <c r="AE16" s="120" t="str">
        <f>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Bajo</v>
      </c>
      <c r="AF16" s="116" t="s">
        <v>130</v>
      </c>
      <c r="AG16" s="121" t="s">
        <v>232</v>
      </c>
      <c r="AH16" s="154" t="s">
        <v>224</v>
      </c>
      <c r="AI16" s="123">
        <v>44423</v>
      </c>
      <c r="AJ16" s="123" t="s">
        <v>211</v>
      </c>
      <c r="AK16" s="121"/>
      <c r="AL16" s="122" t="s">
        <v>39</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55.5" customHeight="1" x14ac:dyDescent="0.3">
      <c r="A17" s="220"/>
      <c r="B17" s="227"/>
      <c r="C17" s="224"/>
      <c r="D17" s="221"/>
      <c r="E17" s="211"/>
      <c r="F17" s="211"/>
      <c r="G17" s="221"/>
      <c r="H17" s="213"/>
      <c r="I17" s="222"/>
      <c r="J17" s="218"/>
      <c r="K17" s="217"/>
      <c r="L17" s="216"/>
      <c r="M17" s="217">
        <f ca="1">IF(NOT(ISERROR(MATCH(L17,_xlfn.ANCHORARRAY(E28),0))),K30&amp;"Por favor no seleccionar los criterios de impacto",L17)</f>
        <v>0</v>
      </c>
      <c r="N17" s="218"/>
      <c r="O17" s="217"/>
      <c r="P17" s="219"/>
      <c r="Q17" s="113">
        <v>3</v>
      </c>
      <c r="R17" s="126"/>
      <c r="S17" s="115" t="str">
        <f>IF(OR(T17="Preventivo",T17="Detectivo"),"Probabilidad",IF(T17="Correctivo","Impacto",""))</f>
        <v/>
      </c>
      <c r="T17" s="116"/>
      <c r="U17" s="116"/>
      <c r="V17" s="117" t="str">
        <f t="shared" ref="V17:V20" si="9">IF(AND(T17="Preventivo",U17="Automático"),"50%",IF(AND(T17="Preventivo",U17="Manual"),"40%",IF(AND(T17="Detectivo",U17="Automático"),"40%",IF(AND(T17="Detectivo",U17="Manual"),"30%",IF(AND(T17="Correctivo",U17="Automático"),"35%",IF(AND(T17="Correctivo",U17="Manual"),"25%",""))))))</f>
        <v/>
      </c>
      <c r="W17" s="116"/>
      <c r="X17" s="116"/>
      <c r="Y17" s="116"/>
      <c r="Z17" s="118" t="str">
        <f>IFERROR(IF(AND(S16="Probabilidad",S17="Probabilidad"),(AB16-(+AB16*V17)),IF(AND(S16="Impacto",S17="Probabilidad"),(AB15-(+AB15*V17)),IF(S17="Impacto",AB16,""))),"")</f>
        <v/>
      </c>
      <c r="AA17" s="119" t="str">
        <f t="shared" si="0"/>
        <v/>
      </c>
      <c r="AB17" s="117" t="str">
        <f t="shared" ref="AB17:AB20" si="10">+Z17</f>
        <v/>
      </c>
      <c r="AC17" s="119" t="str">
        <f t="shared" si="2"/>
        <v/>
      </c>
      <c r="AD17" s="117" t="str">
        <f>IFERROR(IF(AND(S16="Impacto",S17="Impacto"),(AD16-(+AD16*V17)),IF(AND(S16="Probabilidad",S17="Impacto"),(AD15-(+AD15*V17)),IF(S17="Probabilidad",AD16,""))),"")</f>
        <v/>
      </c>
      <c r="AE17" s="120" t="str">
        <f t="shared" ref="AE17" si="11">IFERROR(IF(OR(AND(AA17="Muy Baja",AC17="Leve"),AND(AA17="Muy Baja",AC17="Menor"),AND(AA17="Baja",AC17="Leve")),"Bajo",IF(OR(AND(AA17="Muy baja",AC17="Moderado"),AND(AA17="Baja",AC17="Menor"),AND(AA17="Baja",AC17="Moderado"),AND(AA17="Media",AC17="Leve"),AND(AA17="Media",AC17="Menor"),AND(AA17="Media",AC17="Moderado"),AND(AA17="Alta",AC17="Leve"),AND(AA17="Alta",AC17="Menor")),"Moderado",IF(OR(AND(AA17="Muy Baja",AC17="Mayor"),AND(AA17="Baja",AC17="Mayor"),AND(AA17="Media",AC17="Mayor"),AND(AA17="Alta",AC17="Moderado"),AND(AA17="Alta",AC17="Mayor"),AND(AA17="Muy Alta",AC17="Leve"),AND(AA17="Muy Alta",AC17="Menor"),AND(AA17="Muy Alta",AC17="Moderado"),AND(AA17="Muy Alta",AC17="Mayor")),"Alto",IF(OR(AND(AA17="Muy Baja",AC17="Catastrófico"),AND(AA17="Baja",AC17="Catastrófico"),AND(AA17="Media",AC17="Catastrófico"),AND(AA17="Alta",AC17="Catastrófico"),AND(AA17="Muy Alta",AC17="Catastrófico")),"Extremo","")))),"")</f>
        <v/>
      </c>
      <c r="AF17" s="116"/>
      <c r="AG17" s="121" t="s">
        <v>233</v>
      </c>
      <c r="AH17" s="154" t="s">
        <v>224</v>
      </c>
      <c r="AI17" s="123">
        <v>44423</v>
      </c>
      <c r="AJ17" s="123" t="s">
        <v>211</v>
      </c>
      <c r="AK17" s="121"/>
      <c r="AL17" s="156" t="s">
        <v>39</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65.25" customHeight="1" x14ac:dyDescent="0.3">
      <c r="A18" s="220"/>
      <c r="B18" s="227"/>
      <c r="C18" s="224"/>
      <c r="D18" s="221"/>
      <c r="E18" s="211"/>
      <c r="F18" s="211"/>
      <c r="G18" s="221"/>
      <c r="H18" s="213"/>
      <c r="I18" s="222"/>
      <c r="J18" s="218"/>
      <c r="K18" s="217"/>
      <c r="L18" s="216"/>
      <c r="M18" s="217">
        <f ca="1">IF(NOT(ISERROR(MATCH(L18,_xlfn.ANCHORARRAY(E29),0))),K31&amp;"Por favor no seleccionar los criterios de impacto",L18)</f>
        <v>0</v>
      </c>
      <c r="N18" s="218"/>
      <c r="O18" s="217"/>
      <c r="P18" s="219"/>
      <c r="Q18" s="113">
        <v>4</v>
      </c>
      <c r="R18" s="114"/>
      <c r="S18" s="115" t="str">
        <f t="shared" ref="S18:S20" si="12">IF(OR(T18="Preventivo",T18="Detectivo"),"Probabilidad",IF(T18="Correctivo","Impacto",""))</f>
        <v/>
      </c>
      <c r="T18" s="116"/>
      <c r="U18" s="116"/>
      <c r="V18" s="117" t="str">
        <f t="shared" si="9"/>
        <v/>
      </c>
      <c r="W18" s="116"/>
      <c r="X18" s="116"/>
      <c r="Y18" s="116"/>
      <c r="Z18" s="118" t="str">
        <f t="shared" ref="Z18:Z20" si="13">IFERROR(IF(AND(S17="Probabilidad",S18="Probabilidad"),(AB17-(+AB17*V18)),IF(AND(S17="Impacto",S18="Probabilidad"),(AB16-(+AB16*V18)),IF(S18="Impacto",AB17,""))),"")</f>
        <v/>
      </c>
      <c r="AA18" s="119" t="str">
        <f t="shared" si="0"/>
        <v/>
      </c>
      <c r="AB18" s="117" t="str">
        <f t="shared" si="10"/>
        <v/>
      </c>
      <c r="AC18" s="119" t="str">
        <f t="shared" si="2"/>
        <v/>
      </c>
      <c r="AD18" s="117" t="str">
        <f t="shared" ref="AD18:AD20" si="14">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57.75" customHeight="1" x14ac:dyDescent="0.3">
      <c r="A19" s="220"/>
      <c r="B19" s="227"/>
      <c r="C19" s="224"/>
      <c r="D19" s="221"/>
      <c r="E19" s="211"/>
      <c r="F19" s="211"/>
      <c r="G19" s="221"/>
      <c r="H19" s="213"/>
      <c r="I19" s="222"/>
      <c r="J19" s="218"/>
      <c r="K19" s="217"/>
      <c r="L19" s="216"/>
      <c r="M19" s="217">
        <f ca="1">IF(NOT(ISERROR(MATCH(L19,_xlfn.ANCHORARRAY(E30),0))),K32&amp;"Por favor no seleccionar los criterios de impacto",L19)</f>
        <v>0</v>
      </c>
      <c r="N19" s="218"/>
      <c r="O19" s="217"/>
      <c r="P19" s="219"/>
      <c r="Q19" s="113">
        <v>5</v>
      </c>
      <c r="R19" s="114"/>
      <c r="S19" s="115" t="str">
        <f t="shared" si="12"/>
        <v/>
      </c>
      <c r="T19" s="116"/>
      <c r="U19" s="116"/>
      <c r="V19" s="117" t="str">
        <f t="shared" si="9"/>
        <v/>
      </c>
      <c r="W19" s="116"/>
      <c r="X19" s="116"/>
      <c r="Y19" s="116"/>
      <c r="Z19" s="118" t="str">
        <f t="shared" si="13"/>
        <v/>
      </c>
      <c r="AA19" s="119" t="str">
        <f t="shared" si="0"/>
        <v/>
      </c>
      <c r="AB19" s="117" t="str">
        <f t="shared" si="10"/>
        <v/>
      </c>
      <c r="AC19" s="119" t="str">
        <f t="shared" si="2"/>
        <v/>
      </c>
      <c r="AD19" s="117" t="str">
        <f t="shared" si="14"/>
        <v/>
      </c>
      <c r="AE19" s="120" t="str">
        <f t="shared" ref="AE19:AE20" si="15">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117.75" customHeight="1" x14ac:dyDescent="0.3">
      <c r="A20" s="220"/>
      <c r="B20" s="228"/>
      <c r="C20" s="225"/>
      <c r="D20" s="221"/>
      <c r="E20" s="211"/>
      <c r="F20" s="211"/>
      <c r="G20" s="221"/>
      <c r="H20" s="214"/>
      <c r="I20" s="222"/>
      <c r="J20" s="218"/>
      <c r="K20" s="217"/>
      <c r="L20" s="216"/>
      <c r="M20" s="217">
        <f ca="1">IF(NOT(ISERROR(MATCH(L20,_xlfn.ANCHORARRAY(E31),0))),K33&amp;"Por favor no seleccionar los criterios de impacto",L20)</f>
        <v>0</v>
      </c>
      <c r="N20" s="218"/>
      <c r="O20" s="217"/>
      <c r="P20" s="219"/>
      <c r="Q20" s="113">
        <v>6</v>
      </c>
      <c r="R20" s="114"/>
      <c r="S20" s="115" t="str">
        <f t="shared" si="12"/>
        <v/>
      </c>
      <c r="T20" s="116"/>
      <c r="U20" s="116"/>
      <c r="V20" s="117" t="str">
        <f t="shared" si="9"/>
        <v/>
      </c>
      <c r="W20" s="116"/>
      <c r="X20" s="116"/>
      <c r="Y20" s="116"/>
      <c r="Z20" s="118" t="str">
        <f t="shared" si="13"/>
        <v/>
      </c>
      <c r="AA20" s="119" t="str">
        <f t="shared" si="0"/>
        <v/>
      </c>
      <c r="AB20" s="117" t="str">
        <f t="shared" si="10"/>
        <v/>
      </c>
      <c r="AC20" s="119" t="str">
        <f t="shared" si="2"/>
        <v/>
      </c>
      <c r="AD20" s="117" t="str">
        <f t="shared" si="14"/>
        <v/>
      </c>
      <c r="AE20" s="120" t="str">
        <f t="shared" si="15"/>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ht="99" customHeight="1" x14ac:dyDescent="0.3">
      <c r="A21" s="220">
        <v>3</v>
      </c>
      <c r="B21" s="233"/>
      <c r="C21" s="223" t="s">
        <v>216</v>
      </c>
      <c r="D21" s="221" t="s">
        <v>236</v>
      </c>
      <c r="E21" s="211" t="s">
        <v>235</v>
      </c>
      <c r="F21" s="211" t="s">
        <v>235</v>
      </c>
      <c r="G21" s="221" t="s">
        <v>234</v>
      </c>
      <c r="H21" s="212" t="s">
        <v>210</v>
      </c>
      <c r="I21" s="222">
        <v>50</v>
      </c>
      <c r="J21" s="218" t="str">
        <f>IF(I21&lt;=0,"",IF(I21&lt;=2,"Muy Baja",IF(I21&lt;=24,"Baja",IF(I21&lt;=500,"Media",IF(I21&lt;=5000,"Alta","Muy Alta")))))</f>
        <v>Media</v>
      </c>
      <c r="K21" s="217">
        <f>IF(J21="","",IF(J21="Muy Baja",0.2,IF(J21="Baja",0.4,IF(J21="Media",0.6,IF(J21="Alta",0.8,IF(J21="Muy Alta",1,))))))</f>
        <v>0.6</v>
      </c>
      <c r="L21" s="216" t="s">
        <v>149</v>
      </c>
      <c r="M21" s="217" t="str">
        <f>IF(NOT(ISERROR(MATCH(L21,'Tabla Impacto'!$B$221:$B$223,0))),'Tabla Impacto'!$F$223&amp;"Por favor no seleccionar los criterios de impacto(Afectación Económica o presupuestal y Pérdida Reputacional)",L21)</f>
        <v xml:space="preserve">     El riesgo afecta la imagen de de la entidad con efecto publicitario sostenido a nivel de sector administrativo, nivel departamental o municipal</v>
      </c>
      <c r="N21" s="218" t="str">
        <f>IF(OR(M21='Tabla Impacto'!$C$11,M21='Tabla Impacto'!$D$11),"Leve",IF(OR(M21='Tabla Impacto'!$C$12,M21='Tabla Impacto'!$D$12),"Menor",IF(OR(M21='Tabla Impacto'!$C$13,M21='Tabla Impacto'!$D$13),"Moderado",IF(OR(M21='Tabla Impacto'!$C$14,M21='Tabla Impacto'!$D$14),"Mayor",IF(OR(M21='Tabla Impacto'!$C$15,M21='Tabla Impacto'!$D$15),"Catastrófico","")))))</f>
        <v>Mayor</v>
      </c>
      <c r="O21" s="217">
        <f>IF(N21="","",IF(N21="Leve",0.2,IF(N21="Menor",0.4,IF(N21="Moderado",0.6,IF(N21="Mayor",0.8,IF(N21="Catastrófico",1,))))))</f>
        <v>0.8</v>
      </c>
      <c r="P21" s="219" t="str">
        <f>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Alto</v>
      </c>
      <c r="Q21" s="113">
        <v>1</v>
      </c>
      <c r="R21" s="114" t="s">
        <v>230</v>
      </c>
      <c r="S21" s="115" t="str">
        <f>IF(OR(T21="Preventivo",T21="Detectivo"),"Probabilidad",IF(T21="Correctivo","Impacto",""))</f>
        <v>Impacto</v>
      </c>
      <c r="T21" s="116" t="s">
        <v>15</v>
      </c>
      <c r="U21" s="116" t="s">
        <v>8</v>
      </c>
      <c r="V21" s="117" t="str">
        <f>IF(AND(T21="Preventivo",U21="Automático"),"50%",IF(AND(T21="Preventivo",U21="Manual"),"40%",IF(AND(T21="Detectivo",U21="Automático"),"40%",IF(AND(T21="Detectivo",U21="Manual"),"30%",IF(AND(T21="Correctivo",U21="Automático"),"35%",IF(AND(T21="Correctivo",U21="Manual"),"25%",""))))))</f>
        <v>25%</v>
      </c>
      <c r="W21" s="116" t="s">
        <v>18</v>
      </c>
      <c r="X21" s="116" t="s">
        <v>21</v>
      </c>
      <c r="Y21" s="116" t="s">
        <v>116</v>
      </c>
      <c r="Z21" s="118">
        <f>IFERROR(IF(S21="Probabilidad",(K21-(+K21*V21)),IF(S21="Impacto",K21,"")),"")</f>
        <v>0.6</v>
      </c>
      <c r="AA21" s="119" t="str">
        <f>IFERROR(IF(Z21="","",IF(Z21&lt;=0.2,"Muy Baja",IF(Z21&lt;=0.4,"Baja",IF(Z21&lt;=0.6,"Media",IF(Z21&lt;=0.8,"Alta","Muy Alta"))))),"")</f>
        <v>Media</v>
      </c>
      <c r="AB21" s="117">
        <f>+Z21</f>
        <v>0.6</v>
      </c>
      <c r="AC21" s="119" t="str">
        <f>IFERROR(IF(AD21="","",IF(AD21&lt;=0.2,"Leve",IF(AD21&lt;=0.4,"Menor",IF(AD21&lt;=0.6,"Moderado",IF(AD21&lt;=0.8,"Mayor","Catastrófico"))))),"")</f>
        <v>Moderado</v>
      </c>
      <c r="AD21" s="117">
        <f>IFERROR(IF(S21="Impacto",(O21-(+O21*V21)),IF(S21="Probabilidad",O21,"")),"")</f>
        <v>0.60000000000000009</v>
      </c>
      <c r="AE21" s="120"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Moderado</v>
      </c>
      <c r="AF21" s="116" t="s">
        <v>130</v>
      </c>
      <c r="AG21" s="157" t="s">
        <v>238</v>
      </c>
      <c r="AH21" s="154" t="s">
        <v>224</v>
      </c>
      <c r="AI21" s="123">
        <v>44423</v>
      </c>
      <c r="AJ21" s="123" t="s">
        <v>211</v>
      </c>
      <c r="AK21" s="154"/>
      <c r="AL21" s="155" t="s">
        <v>40</v>
      </c>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109.5" customHeight="1" x14ac:dyDescent="0.3">
      <c r="A22" s="220"/>
      <c r="B22" s="234"/>
      <c r="C22" s="224"/>
      <c r="D22" s="221"/>
      <c r="E22" s="211"/>
      <c r="F22" s="211"/>
      <c r="G22" s="221"/>
      <c r="H22" s="213"/>
      <c r="I22" s="222"/>
      <c r="J22" s="218"/>
      <c r="K22" s="217"/>
      <c r="L22" s="216"/>
      <c r="M22" s="217">
        <f t="shared" ref="M22:M26" ca="1" si="16">IF(NOT(ISERROR(MATCH(L22,_xlfn.ANCHORARRAY(E33),0))),K35&amp;"Por favor no seleccionar los criterios de impacto",L22)</f>
        <v>0</v>
      </c>
      <c r="N22" s="218"/>
      <c r="O22" s="217"/>
      <c r="P22" s="219"/>
      <c r="Q22" s="113">
        <v>2</v>
      </c>
      <c r="R22" s="114" t="s">
        <v>237</v>
      </c>
      <c r="S22" s="115" t="str">
        <f>IF(OR(T22="Preventivo",T22="Detectivo"),"Probabilidad",IF(T22="Correctivo","Impacto",""))</f>
        <v>Impacto</v>
      </c>
      <c r="T22" s="116" t="s">
        <v>15</v>
      </c>
      <c r="U22" s="116" t="s">
        <v>8</v>
      </c>
      <c r="V22" s="117" t="str">
        <f>IF(AND(T22="Preventivo",U22="Automático"),"50%",IF(AND(T22="Preventivo",U22="Manual"),"40%",IF(AND(T22="Detectivo",U22="Automático"),"40%",IF(AND(T22="Detectivo",U22="Manual"),"30%",IF(AND(T22="Correctivo",U22="Automático"),"35%",IF(AND(T22="Correctivo",U22="Manual"),"25%",""))))))</f>
        <v>25%</v>
      </c>
      <c r="W22" s="116" t="s">
        <v>18</v>
      </c>
      <c r="X22" s="116" t="s">
        <v>21</v>
      </c>
      <c r="Y22" s="116" t="s">
        <v>116</v>
      </c>
      <c r="Z22" s="118">
        <f>IFERROR(IF(S22="Probabilidad",(K22-(+K22*V22)),IF(S22="Impacto",K22,"")),"")</f>
        <v>0</v>
      </c>
      <c r="AA22" s="119" t="str">
        <f>IFERROR(IF(Z22="","",IF(Z22&lt;=0.2,"Muy Baja",IF(Z22&lt;=0.4,"Baja",IF(Z22&lt;=0.6,"Media",IF(Z22&lt;=0.8,"Alta","Muy Alta"))))),"")</f>
        <v>Muy Baja</v>
      </c>
      <c r="AB22" s="117">
        <f>+Z22</f>
        <v>0</v>
      </c>
      <c r="AC22" s="119" t="str">
        <f>IFERROR(IF(AD22="","",IF(AD22&lt;=0.2,"Leve",IF(AD22&lt;=0.4,"Menor",IF(AD22&lt;=0.6,"Moderado",IF(AD22&lt;=0.8,"Mayor","Catastrófico"))))),"")</f>
        <v>Leve</v>
      </c>
      <c r="AD22" s="117">
        <f>IFERROR(IF(S22="Impacto",(O22-(+O22*V22)),IF(S22="Probabilidad",O22,"")),"")</f>
        <v>0</v>
      </c>
      <c r="AE22" s="120" t="str">
        <f>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Bajo</v>
      </c>
      <c r="AF22" s="116" t="s">
        <v>130</v>
      </c>
      <c r="AG22" s="157" t="s">
        <v>239</v>
      </c>
      <c r="AH22" s="154" t="s">
        <v>224</v>
      </c>
      <c r="AI22" s="123">
        <v>44423</v>
      </c>
      <c r="AJ22" s="123" t="s">
        <v>211</v>
      </c>
      <c r="AK22" s="154"/>
      <c r="AL22" s="155" t="s">
        <v>40</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79.5" customHeight="1" x14ac:dyDescent="0.3">
      <c r="A23" s="220"/>
      <c r="B23" s="234"/>
      <c r="C23" s="224"/>
      <c r="D23" s="221"/>
      <c r="E23" s="211"/>
      <c r="F23" s="211"/>
      <c r="G23" s="221"/>
      <c r="H23" s="213"/>
      <c r="I23" s="222"/>
      <c r="J23" s="218"/>
      <c r="K23" s="217"/>
      <c r="L23" s="216"/>
      <c r="M23" s="217">
        <f t="shared" ca="1" si="16"/>
        <v>0</v>
      </c>
      <c r="N23" s="218"/>
      <c r="O23" s="217"/>
      <c r="P23" s="219"/>
      <c r="Q23" s="113">
        <v>3</v>
      </c>
      <c r="R23" s="126"/>
      <c r="S23" s="115" t="str">
        <f>IF(OR(T23="Preventivo",T23="Detectivo"),"Probabilidad",IF(T23="Correctivo","Impacto",""))</f>
        <v/>
      </c>
      <c r="T23" s="116"/>
      <c r="U23" s="116"/>
      <c r="V23" s="117" t="str">
        <f t="shared" ref="V23:V26" si="17">IF(AND(T23="Preventivo",U23="Automático"),"50%",IF(AND(T23="Preventivo",U23="Manual"),"40%",IF(AND(T23="Detectivo",U23="Automático"),"40%",IF(AND(T23="Detectivo",U23="Manual"),"30%",IF(AND(T23="Correctivo",U23="Automático"),"35%",IF(AND(T23="Correctivo",U23="Manual"),"25%",""))))))</f>
        <v/>
      </c>
      <c r="W23" s="116"/>
      <c r="X23" s="116"/>
      <c r="Y23" s="116"/>
      <c r="Z23" s="118" t="str">
        <f>IFERROR(IF(AND(S22="Probabilidad",S23="Probabilidad"),(AB22-(+AB22*V23)),IF(AND(S22="Impacto",S23="Probabilidad"),(AB21-(+AB21*V23)),IF(S23="Impacto",AB22,""))),"")</f>
        <v/>
      </c>
      <c r="AA23" s="119" t="str">
        <f t="shared" ref="AA23:AA26" si="18">IFERROR(IF(Z23="","",IF(Z23&lt;=0.2,"Muy Baja",IF(Z23&lt;=0.4,"Baja",IF(Z23&lt;=0.6,"Media",IF(Z23&lt;=0.8,"Alta","Muy Alta"))))),"")</f>
        <v/>
      </c>
      <c r="AB23" s="117" t="str">
        <f t="shared" ref="AB23:AB26" si="19">+Z23</f>
        <v/>
      </c>
      <c r="AC23" s="119" t="str">
        <f t="shared" ref="AC23:AC26" si="20">IFERROR(IF(AD23="","",IF(AD23&lt;=0.2,"Leve",IF(AD23&lt;=0.4,"Menor",IF(AD23&lt;=0.6,"Moderado",IF(AD23&lt;=0.8,"Mayor","Catastrófico"))))),"")</f>
        <v/>
      </c>
      <c r="AD23" s="117" t="str">
        <f>IFERROR(IF(AND(S22="Impacto",S23="Impacto"),(AD22-(+AD22*V23)),IF(AND(S22="Probabilidad",S23="Impacto"),(AD21-(+AD21*V23)),IF(S23="Probabilidad",AD22,""))),"")</f>
        <v/>
      </c>
      <c r="AE23" s="120" t="str">
        <f t="shared" ref="AE23" si="21">IFERROR(IF(OR(AND(AA23="Muy Baja",AC23="Leve"),AND(AA23="Muy Baja",AC23="Menor"),AND(AA23="Baja",AC23="Leve")),"Bajo",IF(OR(AND(AA23="Muy baja",AC23="Moderado"),AND(AA23="Baja",AC23="Menor"),AND(AA23="Baja",AC23="Moderado"),AND(AA23="Media",AC23="Leve"),AND(AA23="Media",AC23="Menor"),AND(AA23="Media",AC23="Moderado"),AND(AA23="Alta",AC23="Leve"),AND(AA23="Alta",AC23="Menor")),"Moderado",IF(OR(AND(AA23="Muy Baja",AC23="Mayor"),AND(AA23="Baja",AC23="Mayor"),AND(AA23="Media",AC23="Mayor"),AND(AA23="Alta",AC23="Moderado"),AND(AA23="Alta",AC23="Mayor"),AND(AA23="Muy Alta",AC23="Leve"),AND(AA23="Muy Alta",AC23="Menor"),AND(AA23="Muy Alta",AC23="Moderado"),AND(AA23="Muy Alta",AC23="Mayor")),"Alto",IF(OR(AND(AA23="Muy Baja",AC23="Catastrófico"),AND(AA23="Baja",AC23="Catastrófico"),AND(AA23="Media",AC23="Catastrófico"),AND(AA23="Alta",AC23="Catastrófico"),AND(AA23="Muy Alta",AC23="Catastrófico")),"Extremo","")))),"")</f>
        <v/>
      </c>
      <c r="AF23" s="116"/>
      <c r="AG23" s="157" t="s">
        <v>233</v>
      </c>
      <c r="AH23" s="154" t="s">
        <v>224</v>
      </c>
      <c r="AI23" s="123">
        <v>44423</v>
      </c>
      <c r="AJ23" s="123" t="s">
        <v>211</v>
      </c>
      <c r="AK23" s="154"/>
      <c r="AL23" s="156" t="s">
        <v>40</v>
      </c>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20"/>
      <c r="B24" s="234"/>
      <c r="C24" s="224"/>
      <c r="D24" s="221"/>
      <c r="E24" s="211"/>
      <c r="F24" s="211"/>
      <c r="G24" s="221"/>
      <c r="H24" s="213"/>
      <c r="I24" s="222"/>
      <c r="J24" s="218"/>
      <c r="K24" s="217"/>
      <c r="L24" s="216"/>
      <c r="M24" s="217">
        <f t="shared" ca="1" si="16"/>
        <v>0</v>
      </c>
      <c r="N24" s="218"/>
      <c r="O24" s="217"/>
      <c r="P24" s="219"/>
      <c r="Q24" s="113">
        <v>4</v>
      </c>
      <c r="R24" s="114"/>
      <c r="S24" s="115" t="str">
        <f t="shared" ref="S24:S26" si="22">IF(OR(T24="Preventivo",T24="Detectivo"),"Probabilidad",IF(T24="Correctivo","Impacto",""))</f>
        <v/>
      </c>
      <c r="T24" s="116"/>
      <c r="U24" s="116"/>
      <c r="V24" s="117" t="str">
        <f t="shared" si="17"/>
        <v/>
      </c>
      <c r="W24" s="116"/>
      <c r="X24" s="116"/>
      <c r="Y24" s="116"/>
      <c r="Z24" s="118" t="str">
        <f t="shared" ref="Z24:Z26" si="23">IFERROR(IF(AND(S23="Probabilidad",S24="Probabilidad"),(AB23-(+AB23*V24)),IF(AND(S23="Impacto",S24="Probabilidad"),(AB22-(+AB22*V24)),IF(S24="Impacto",AB23,""))),"")</f>
        <v/>
      </c>
      <c r="AA24" s="119" t="str">
        <f t="shared" si="18"/>
        <v/>
      </c>
      <c r="AB24" s="117" t="str">
        <f t="shared" si="19"/>
        <v/>
      </c>
      <c r="AC24" s="119" t="str">
        <f t="shared" si="20"/>
        <v/>
      </c>
      <c r="AD24" s="117" t="str">
        <f t="shared" ref="AD24:AD26" si="24">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54"/>
      <c r="AH24" s="155"/>
      <c r="AI24" s="123"/>
      <c r="AJ24" s="123"/>
      <c r="AK24" s="154"/>
      <c r="AL24" s="155"/>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42" customHeight="1" x14ac:dyDescent="0.3">
      <c r="A25" s="220"/>
      <c r="B25" s="234"/>
      <c r="C25" s="224"/>
      <c r="D25" s="221"/>
      <c r="E25" s="211"/>
      <c r="F25" s="211"/>
      <c r="G25" s="221"/>
      <c r="H25" s="213"/>
      <c r="I25" s="222"/>
      <c r="J25" s="218"/>
      <c r="K25" s="217"/>
      <c r="L25" s="216"/>
      <c r="M25" s="217">
        <f t="shared" ca="1" si="16"/>
        <v>0</v>
      </c>
      <c r="N25" s="218"/>
      <c r="O25" s="217"/>
      <c r="P25" s="219"/>
      <c r="Q25" s="113">
        <v>5</v>
      </c>
      <c r="R25" s="114"/>
      <c r="S25" s="115" t="str">
        <f t="shared" si="22"/>
        <v/>
      </c>
      <c r="T25" s="116"/>
      <c r="U25" s="116"/>
      <c r="V25" s="117" t="str">
        <f t="shared" si="17"/>
        <v/>
      </c>
      <c r="W25" s="116"/>
      <c r="X25" s="116"/>
      <c r="Y25" s="116"/>
      <c r="Z25" s="118" t="str">
        <f t="shared" si="23"/>
        <v/>
      </c>
      <c r="AA25" s="119" t="str">
        <f t="shared" si="18"/>
        <v/>
      </c>
      <c r="AB25" s="117" t="str">
        <f t="shared" si="19"/>
        <v/>
      </c>
      <c r="AC25" s="119" t="str">
        <f t="shared" si="20"/>
        <v/>
      </c>
      <c r="AD25" s="117" t="str">
        <f t="shared" si="24"/>
        <v/>
      </c>
      <c r="AE25" s="120" t="str">
        <f t="shared" ref="AE25:AE26" si="25">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54"/>
      <c r="AH25" s="155"/>
      <c r="AI25" s="123"/>
      <c r="AJ25" s="123"/>
      <c r="AK25" s="154"/>
      <c r="AL25" s="155"/>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44.25" customHeight="1" x14ac:dyDescent="0.3">
      <c r="A26" s="220"/>
      <c r="B26" s="235"/>
      <c r="C26" s="225"/>
      <c r="D26" s="221"/>
      <c r="E26" s="211"/>
      <c r="F26" s="211"/>
      <c r="G26" s="221"/>
      <c r="H26" s="214"/>
      <c r="I26" s="222"/>
      <c r="J26" s="218"/>
      <c r="K26" s="217"/>
      <c r="L26" s="216"/>
      <c r="M26" s="217">
        <f t="shared" ca="1" si="16"/>
        <v>0</v>
      </c>
      <c r="N26" s="218"/>
      <c r="O26" s="217"/>
      <c r="P26" s="219"/>
      <c r="Q26" s="113">
        <v>6</v>
      </c>
      <c r="R26" s="114"/>
      <c r="S26" s="115" t="str">
        <f t="shared" si="22"/>
        <v/>
      </c>
      <c r="T26" s="116"/>
      <c r="U26" s="116"/>
      <c r="V26" s="117" t="str">
        <f t="shared" si="17"/>
        <v/>
      </c>
      <c r="W26" s="116"/>
      <c r="X26" s="116"/>
      <c r="Y26" s="116"/>
      <c r="Z26" s="118" t="str">
        <f t="shared" si="23"/>
        <v/>
      </c>
      <c r="AA26" s="119" t="str">
        <f t="shared" si="18"/>
        <v/>
      </c>
      <c r="AB26" s="117" t="str">
        <f t="shared" si="19"/>
        <v/>
      </c>
      <c r="AC26" s="119" t="str">
        <f t="shared" si="20"/>
        <v/>
      </c>
      <c r="AD26" s="117" t="str">
        <f t="shared" si="24"/>
        <v/>
      </c>
      <c r="AE26" s="120" t="str">
        <f t="shared" si="25"/>
        <v/>
      </c>
      <c r="AF26" s="116"/>
      <c r="AG26" s="154"/>
      <c r="AH26" s="155"/>
      <c r="AI26" s="123"/>
      <c r="AJ26" s="123"/>
      <c r="AK26" s="154"/>
      <c r="AL26" s="155"/>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x14ac:dyDescent="0.3">
      <c r="A27" s="220">
        <v>4</v>
      </c>
      <c r="B27" s="233"/>
      <c r="C27" s="233"/>
      <c r="D27" s="221"/>
      <c r="E27" s="211"/>
      <c r="F27" s="236"/>
      <c r="G27" s="221"/>
      <c r="H27" s="212"/>
      <c r="I27" s="222"/>
      <c r="J27" s="218" t="str">
        <f>IF(I27&lt;=0,"",IF(I27&lt;=2,"Muy Baja",IF(I27&lt;=24,"Baja",IF(I27&lt;=500,"Media",IF(I27&lt;=5000,"Alta","Muy Alta")))))</f>
        <v/>
      </c>
      <c r="K27" s="217" t="str">
        <f>IF(J27="","",IF(J27="Muy Baja",0.2,IF(J27="Baja",0.4,IF(J27="Media",0.6,IF(J27="Alta",0.8,IF(J27="Muy Alta",1,))))))</f>
        <v/>
      </c>
      <c r="L27" s="216"/>
      <c r="M27" s="217">
        <f>IF(NOT(ISERROR(MATCH(L27,'Tabla Impacto'!$B$221:$B$223,0))),'Tabla Impacto'!$F$223&amp;"Por favor no seleccionar los criterios de impacto(Afectación Económica o presupuestal y Pérdida Reputacional)",L27)</f>
        <v>0</v>
      </c>
      <c r="N27" s="218" t="str">
        <f>IF(OR(M27='Tabla Impacto'!$C$11,M27='Tabla Impacto'!$D$11),"Leve",IF(OR(M27='Tabla Impacto'!$C$12,M27='Tabla Impacto'!$D$12),"Menor",IF(OR(M27='Tabla Impacto'!$C$13,M27='Tabla Impacto'!$D$13),"Moderado",IF(OR(M27='Tabla Impacto'!$C$14,M27='Tabla Impacto'!$D$14),"Mayor",IF(OR(M27='Tabla Impacto'!$C$15,M27='Tabla Impacto'!$D$15),"Catastrófico","")))))</f>
        <v/>
      </c>
      <c r="O27" s="217" t="str">
        <f>IF(N27="","",IF(N27="Leve",0.2,IF(N27="Menor",0.4,IF(N27="Moderado",0.6,IF(N27="Mayor",0.8,IF(N27="Catastrófico",1,))))))</f>
        <v/>
      </c>
      <c r="P27" s="219" t="str">
        <f>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
      </c>
      <c r="Q27" s="113">
        <v>1</v>
      </c>
      <c r="R27" s="114"/>
      <c r="S27" s="115" t="str">
        <f>IF(OR(T27="Preventivo",T27="Detectivo"),"Probabilidad",IF(T27="Correctivo","Impacto",""))</f>
        <v/>
      </c>
      <c r="T27" s="116"/>
      <c r="U27" s="116"/>
      <c r="V27" s="117" t="str">
        <f>IF(AND(T27="Preventivo",U27="Automático"),"50%",IF(AND(T27="Preventivo",U27="Manual"),"40%",IF(AND(T27="Detectivo",U27="Automático"),"40%",IF(AND(T27="Detectivo",U27="Manual"),"30%",IF(AND(T27="Correctivo",U27="Automático"),"35%",IF(AND(T27="Correctivo",U27="Manual"),"25%",""))))))</f>
        <v/>
      </c>
      <c r="W27" s="116"/>
      <c r="X27" s="116"/>
      <c r="Y27" s="116"/>
      <c r="Z27" s="118" t="str">
        <f>IFERROR(IF(S27="Probabilidad",(K27-(+K27*V27)),IF(S27="Impacto",K27,"")),"")</f>
        <v/>
      </c>
      <c r="AA27" s="119" t="str">
        <f>IFERROR(IF(Z27="","",IF(Z27&lt;=0.2,"Muy Baja",IF(Z27&lt;=0.4,"Baja",IF(Z27&lt;=0.6,"Media",IF(Z27&lt;=0.8,"Alta","Muy Alta"))))),"")</f>
        <v/>
      </c>
      <c r="AB27" s="117" t="str">
        <f>+Z27</f>
        <v/>
      </c>
      <c r="AC27" s="119" t="str">
        <f>IFERROR(IF(AD27="","",IF(AD27&lt;=0.2,"Leve",IF(AD27&lt;=0.4,"Menor",IF(AD27&lt;=0.6,"Moderado",IF(AD27&lt;=0.8,"Mayor","Catastrófico"))))),"")</f>
        <v/>
      </c>
      <c r="AD27" s="117" t="str">
        <f>IFERROR(IF(S27="Impacto",(O27-(+O27*V27)),IF(S27="Probabilidad",O27,"")),"")</f>
        <v/>
      </c>
      <c r="AE27" s="120"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
      </c>
      <c r="AF27" s="116"/>
      <c r="AG27" s="121"/>
      <c r="AH27" s="122"/>
      <c r="AI27" s="123"/>
      <c r="AJ27" s="123"/>
      <c r="AK27" s="121"/>
      <c r="AL27" s="122"/>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14.45" customHeight="1" x14ac:dyDescent="0.3">
      <c r="A28" s="220"/>
      <c r="B28" s="234"/>
      <c r="C28" s="234"/>
      <c r="D28" s="221"/>
      <c r="E28" s="211"/>
      <c r="F28" s="237"/>
      <c r="G28" s="221"/>
      <c r="H28" s="213"/>
      <c r="I28" s="222"/>
      <c r="J28" s="218"/>
      <c r="K28" s="217"/>
      <c r="L28" s="216"/>
      <c r="M28" s="217">
        <f t="shared" ref="M28:M32" ca="1" si="26">IF(NOT(ISERROR(MATCH(L28,_xlfn.ANCHORARRAY(E39),0))),K41&amp;"Por favor no seleccionar los criterios de impacto",L28)</f>
        <v>0</v>
      </c>
      <c r="N28" s="218"/>
      <c r="O28" s="217"/>
      <c r="P28" s="219"/>
      <c r="Q28" s="113">
        <v>2</v>
      </c>
      <c r="R28" s="114"/>
      <c r="S28" s="115" t="str">
        <f>IF(OR(T28="Preventivo",T28="Detectivo"),"Probabilidad",IF(T28="Correctivo","Impacto",""))</f>
        <v/>
      </c>
      <c r="T28" s="116"/>
      <c r="U28" s="116"/>
      <c r="V28" s="117" t="str">
        <f t="shared" ref="V28:V32" si="27">IF(AND(T28="Preventivo",U28="Automático"),"50%",IF(AND(T28="Preventivo",U28="Manual"),"40%",IF(AND(T28="Detectivo",U28="Automático"),"40%",IF(AND(T28="Detectivo",U28="Manual"),"30%",IF(AND(T28="Correctivo",U28="Automático"),"35%",IF(AND(T28="Correctivo",U28="Manual"),"25%",""))))))</f>
        <v/>
      </c>
      <c r="W28" s="116"/>
      <c r="X28" s="116"/>
      <c r="Y28" s="116"/>
      <c r="Z28" s="118" t="str">
        <f>IFERROR(IF(AND(S27="Probabilidad",S28="Probabilidad"),(AB27-(+AB27*V28)),IF(S28="Probabilidad",(K27-(+K27*V28)),IF(S28="Impacto",AB27,""))),"")</f>
        <v/>
      </c>
      <c r="AA28" s="119" t="str">
        <f t="shared" si="0"/>
        <v/>
      </c>
      <c r="AB28" s="117" t="str">
        <f t="shared" ref="AB28:AB32" si="28">+Z28</f>
        <v/>
      </c>
      <c r="AC28" s="119" t="str">
        <f t="shared" si="2"/>
        <v/>
      </c>
      <c r="AD28" s="117" t="str">
        <f>IFERROR(IF(AND(S27="Impacto",S28="Impacto"),(AD21-(+AD21*V28)),IF(S28="Impacto",($O$27-(+$O$27*V28)),IF(S28="Probabilidad",AD21,""))),"")</f>
        <v/>
      </c>
      <c r="AE28" s="120" t="str">
        <f t="shared" ref="AE28:AE29" si="29">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
      </c>
      <c r="AF28" s="116"/>
      <c r="AG28" s="121"/>
      <c r="AH28" s="122"/>
      <c r="AI28" s="123"/>
      <c r="AJ28" s="123"/>
      <c r="AK28" s="121"/>
      <c r="AL28" s="122"/>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14.45" customHeight="1" x14ac:dyDescent="0.3">
      <c r="A29" s="220"/>
      <c r="B29" s="234"/>
      <c r="C29" s="234"/>
      <c r="D29" s="221"/>
      <c r="E29" s="211"/>
      <c r="F29" s="237"/>
      <c r="G29" s="221"/>
      <c r="H29" s="213"/>
      <c r="I29" s="222"/>
      <c r="J29" s="218"/>
      <c r="K29" s="217"/>
      <c r="L29" s="216"/>
      <c r="M29" s="217">
        <f t="shared" ca="1" si="26"/>
        <v>0</v>
      </c>
      <c r="N29" s="218"/>
      <c r="O29" s="217"/>
      <c r="P29" s="219"/>
      <c r="Q29" s="113">
        <v>3</v>
      </c>
      <c r="R29" s="126"/>
      <c r="S29" s="115" t="str">
        <f>IF(OR(T29="Preventivo",T29="Detectivo"),"Probabilidad",IF(T29="Correctivo","Impacto",""))</f>
        <v/>
      </c>
      <c r="T29" s="116"/>
      <c r="U29" s="116"/>
      <c r="V29" s="117" t="str">
        <f t="shared" si="27"/>
        <v/>
      </c>
      <c r="W29" s="116"/>
      <c r="X29" s="116"/>
      <c r="Y29" s="116"/>
      <c r="Z29" s="118" t="str">
        <f>IFERROR(IF(AND(S28="Probabilidad",S29="Probabilidad"),(AB28-(+AB28*V29)),IF(AND(S28="Impacto",S29="Probabilidad"),(AB27-(+AB27*V29)),IF(S29="Impacto",AB28,""))),"")</f>
        <v/>
      </c>
      <c r="AA29" s="119" t="str">
        <f t="shared" si="0"/>
        <v/>
      </c>
      <c r="AB29" s="117" t="str">
        <f t="shared" si="28"/>
        <v/>
      </c>
      <c r="AC29" s="119" t="str">
        <f t="shared" si="2"/>
        <v/>
      </c>
      <c r="AD29" s="117" t="str">
        <f>IFERROR(IF(AND(S28="Impacto",S29="Impacto"),(AD28-(+AD28*V29)),IF(AND(S28="Probabilidad",S29="Impacto"),(AD27-(+AD27*V29)),IF(S29="Probabilidad",AD28,""))),"")</f>
        <v/>
      </c>
      <c r="AE29" s="120" t="str">
        <f t="shared" si="29"/>
        <v/>
      </c>
      <c r="AF29" s="116"/>
      <c r="AG29" s="121"/>
      <c r="AH29" s="122"/>
      <c r="AI29" s="123"/>
      <c r="AJ29" s="123"/>
      <c r="AK29" s="121"/>
      <c r="AL29" s="122"/>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20"/>
      <c r="B30" s="234"/>
      <c r="C30" s="234"/>
      <c r="D30" s="221"/>
      <c r="E30" s="211"/>
      <c r="F30" s="237"/>
      <c r="G30" s="221"/>
      <c r="H30" s="213"/>
      <c r="I30" s="222"/>
      <c r="J30" s="218"/>
      <c r="K30" s="217"/>
      <c r="L30" s="216"/>
      <c r="M30" s="217">
        <f t="shared" ca="1" si="26"/>
        <v>0</v>
      </c>
      <c r="N30" s="218"/>
      <c r="O30" s="217"/>
      <c r="P30" s="219"/>
      <c r="Q30" s="113">
        <v>4</v>
      </c>
      <c r="R30" s="114"/>
      <c r="S30" s="115" t="str">
        <f t="shared" ref="S30:S32" si="30">IF(OR(T30="Preventivo",T30="Detectivo"),"Probabilidad",IF(T30="Correctivo","Impacto",""))</f>
        <v/>
      </c>
      <c r="T30" s="116"/>
      <c r="U30" s="116"/>
      <c r="V30" s="117" t="str">
        <f t="shared" si="27"/>
        <v/>
      </c>
      <c r="W30" s="116"/>
      <c r="X30" s="116"/>
      <c r="Y30" s="116"/>
      <c r="Z30" s="118" t="str">
        <f t="shared" ref="Z30:Z32" si="31">IFERROR(IF(AND(S29="Probabilidad",S30="Probabilidad"),(AB29-(+AB29*V30)),IF(AND(S29="Impacto",S30="Probabilidad"),(AB28-(+AB28*V30)),IF(S30="Impacto",AB29,""))),"")</f>
        <v/>
      </c>
      <c r="AA30" s="119" t="str">
        <f t="shared" si="0"/>
        <v/>
      </c>
      <c r="AB30" s="117" t="str">
        <f t="shared" si="28"/>
        <v/>
      </c>
      <c r="AC30" s="119" t="str">
        <f t="shared" si="2"/>
        <v/>
      </c>
      <c r="AD30" s="117" t="str">
        <f t="shared" ref="AD30:AD32" si="32">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14.45" customHeight="1" x14ac:dyDescent="0.3">
      <c r="A31" s="220"/>
      <c r="B31" s="234"/>
      <c r="C31" s="234"/>
      <c r="D31" s="221"/>
      <c r="E31" s="211"/>
      <c r="F31" s="237"/>
      <c r="G31" s="221"/>
      <c r="H31" s="213"/>
      <c r="I31" s="222"/>
      <c r="J31" s="218"/>
      <c r="K31" s="217"/>
      <c r="L31" s="216"/>
      <c r="M31" s="217">
        <f t="shared" ca="1" si="26"/>
        <v>0</v>
      </c>
      <c r="N31" s="218"/>
      <c r="O31" s="217"/>
      <c r="P31" s="219"/>
      <c r="Q31" s="113">
        <v>5</v>
      </c>
      <c r="R31" s="114"/>
      <c r="S31" s="115" t="str">
        <f t="shared" si="30"/>
        <v/>
      </c>
      <c r="T31" s="116"/>
      <c r="U31" s="116"/>
      <c r="V31" s="117" t="str">
        <f t="shared" si="27"/>
        <v/>
      </c>
      <c r="W31" s="116"/>
      <c r="X31" s="116"/>
      <c r="Y31" s="116"/>
      <c r="Z31" s="127" t="str">
        <f t="shared" si="31"/>
        <v/>
      </c>
      <c r="AA31" s="119" t="str">
        <f>IFERROR(IF(Z31="","",IF(Z31&lt;=0.2,"Muy Baja",IF(Z31&lt;=0.4,"Baja",IF(Z31&lt;=0.6,"Media",IF(Z31&lt;=0.8,"Alta","Muy Alta"))))),"")</f>
        <v/>
      </c>
      <c r="AB31" s="117" t="str">
        <f t="shared" si="28"/>
        <v/>
      </c>
      <c r="AC31" s="119" t="str">
        <f t="shared" si="2"/>
        <v/>
      </c>
      <c r="AD31" s="117" t="str">
        <f t="shared" si="32"/>
        <v/>
      </c>
      <c r="AE31" s="120" t="str">
        <f t="shared" ref="AE31:AE32" si="33">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14.45" customHeight="1" x14ac:dyDescent="0.3">
      <c r="A32" s="220"/>
      <c r="B32" s="235"/>
      <c r="C32" s="235"/>
      <c r="D32" s="221"/>
      <c r="E32" s="211"/>
      <c r="F32" s="238"/>
      <c r="G32" s="221"/>
      <c r="H32" s="214"/>
      <c r="I32" s="222"/>
      <c r="J32" s="218"/>
      <c r="K32" s="217"/>
      <c r="L32" s="216"/>
      <c r="M32" s="217">
        <f t="shared" ca="1" si="26"/>
        <v>0</v>
      </c>
      <c r="N32" s="218"/>
      <c r="O32" s="217"/>
      <c r="P32" s="219"/>
      <c r="Q32" s="113">
        <v>6</v>
      </c>
      <c r="R32" s="114"/>
      <c r="S32" s="115" t="str">
        <f t="shared" si="30"/>
        <v/>
      </c>
      <c r="T32" s="116"/>
      <c r="U32" s="116"/>
      <c r="V32" s="117" t="str">
        <f t="shared" si="27"/>
        <v/>
      </c>
      <c r="W32" s="116"/>
      <c r="X32" s="116"/>
      <c r="Y32" s="116"/>
      <c r="Z32" s="118" t="str">
        <f t="shared" si="31"/>
        <v/>
      </c>
      <c r="AA32" s="119" t="str">
        <f t="shared" si="0"/>
        <v/>
      </c>
      <c r="AB32" s="117" t="str">
        <f t="shared" si="28"/>
        <v/>
      </c>
      <c r="AC32" s="119" t="str">
        <f t="shared" si="2"/>
        <v/>
      </c>
      <c r="AD32" s="117" t="str">
        <f t="shared" si="32"/>
        <v/>
      </c>
      <c r="AE32" s="120" t="str">
        <f t="shared" si="33"/>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x14ac:dyDescent="0.3">
      <c r="A33" s="220">
        <v>5</v>
      </c>
      <c r="B33" s="139"/>
      <c r="C33" s="139"/>
      <c r="D33" s="221"/>
      <c r="E33" s="211"/>
      <c r="F33" s="141"/>
      <c r="G33" s="221"/>
      <c r="H33" s="140"/>
      <c r="I33" s="222"/>
      <c r="J33" s="218" t="str">
        <f>IF(I33&lt;=0,"",IF(I33&lt;=2,"Muy Baja",IF(I33&lt;=24,"Baja",IF(I33&lt;=500,"Media",IF(I33&lt;=5000,"Alta","Muy Alta")))))</f>
        <v/>
      </c>
      <c r="K33" s="217" t="str">
        <f>IF(J33="","",IF(J33="Muy Baja",0.2,IF(J33="Baja",0.4,IF(J33="Media",0.6,IF(J33="Alta",0.8,IF(J33="Muy Alta",1,))))))</f>
        <v/>
      </c>
      <c r="L33" s="216"/>
      <c r="M33" s="217">
        <f>IF(NOT(ISERROR(MATCH(L33,'Tabla Impacto'!$B$221:$B$223,0))),'Tabla Impacto'!$F$223&amp;"Por favor no seleccionar los criterios de impacto(Afectación Económica o presupuestal y Pérdida Reputacional)",L33)</f>
        <v>0</v>
      </c>
      <c r="N33" s="218" t="str">
        <f>IF(OR(M33='Tabla Impacto'!$C$11,M33='Tabla Impacto'!$D$11),"Leve",IF(OR(M33='Tabla Impacto'!$C$12,M33='Tabla Impacto'!$D$12),"Menor",IF(OR(M33='Tabla Impacto'!$C$13,M33='Tabla Impacto'!$D$13),"Moderado",IF(OR(M33='Tabla Impacto'!$C$14,M33='Tabla Impacto'!$D$14),"Mayor",IF(OR(M33='Tabla Impacto'!$C$15,M33='Tabla Impacto'!$D$15),"Catastrófico","")))))</f>
        <v/>
      </c>
      <c r="O33" s="217" t="str">
        <f>IF(N33="","",IF(N33="Leve",0.2,IF(N33="Menor",0.4,IF(N33="Moderado",0.6,IF(N33="Mayor",0.8,IF(N33="Catastrófico",1,))))))</f>
        <v/>
      </c>
      <c r="P33" s="219" t="str">
        <f>IF(OR(AND(J33="Muy Baja",N33="Leve"),AND(J33="Muy Baja",N33="Menor"),AND(J33="Baja",N33="Leve")),"Bajo",IF(OR(AND(J33="Muy baja",N33="Moderado"),AND(J33="Baja",N33="Menor"),AND(J33="Baja",N33="Moderado"),AND(J33="Media",N33="Leve"),AND(J33="Media",N33="Menor"),AND(J33="Media",N33="Moderado"),AND(J33="Alta",N33="Leve"),AND(J33="Alta",N33="Menor")),"Moderado",IF(OR(AND(J33="Muy Baja",N33="Mayor"),AND(J33="Baja",N33="Mayor"),AND(J33="Media",N33="Mayor"),AND(J33="Alta",N33="Moderado"),AND(J33="Alta",N33="Mayor"),AND(J33="Muy Alta",N33="Leve"),AND(J33="Muy Alta",N33="Menor"),AND(J33="Muy Alta",N33="Moderado"),AND(J33="Muy Alta",N33="Mayor")),"Alto",IF(OR(AND(J33="Muy Baja",N33="Catastrófico"),AND(J33="Baja",N33="Catastrófico"),AND(J33="Media",N33="Catastrófico"),AND(J33="Alta",N33="Catastrófico"),AND(J33="Muy Alta",N33="Catastrófico")),"Extremo",""))))</f>
        <v/>
      </c>
      <c r="Q33" s="113">
        <v>1</v>
      </c>
      <c r="R33" s="114"/>
      <c r="S33" s="115" t="str">
        <f>IF(OR(T33="Preventivo",T33="Detectivo"),"Probabilidad",IF(T33="Correctivo","Impacto",""))</f>
        <v/>
      </c>
      <c r="T33" s="116"/>
      <c r="U33" s="116"/>
      <c r="V33" s="117" t="str">
        <f>IF(AND(T33="Preventivo",U33="Automático"),"50%",IF(AND(T33="Preventivo",U33="Manual"),"40%",IF(AND(T33="Detectivo",U33="Automático"),"40%",IF(AND(T33="Detectivo",U33="Manual"),"30%",IF(AND(T33="Correctivo",U33="Automático"),"35%",IF(AND(T33="Correctivo",U33="Manual"),"25%",""))))))</f>
        <v/>
      </c>
      <c r="W33" s="116"/>
      <c r="X33" s="116"/>
      <c r="Y33" s="116"/>
      <c r="Z33" s="118" t="str">
        <f>IFERROR(IF(S33="Probabilidad",(K33-(+K33*V33)),IF(S33="Impacto",K33,"")),"")</f>
        <v/>
      </c>
      <c r="AA33" s="119" t="str">
        <f>IFERROR(IF(Z33="","",IF(Z33&lt;=0.2,"Muy Baja",IF(Z33&lt;=0.4,"Baja",IF(Z33&lt;=0.6,"Media",IF(Z33&lt;=0.8,"Alta","Muy Alta"))))),"")</f>
        <v/>
      </c>
      <c r="AB33" s="117" t="str">
        <f>+Z33</f>
        <v/>
      </c>
      <c r="AC33" s="119" t="str">
        <f>IFERROR(IF(AD33="","",IF(AD33&lt;=0.2,"Leve",IF(AD33&lt;=0.4,"Menor",IF(AD33&lt;=0.6,"Moderado",IF(AD33&lt;=0.8,"Mayor","Catastrófico"))))),"")</f>
        <v/>
      </c>
      <c r="AD33" s="117" t="str">
        <f>IFERROR(IF(S33="Impacto",(O33-(+O33*V33)),IF(S33="Probabilidad",O33,"")),"")</f>
        <v/>
      </c>
      <c r="AE33" s="120" t="str">
        <f>IFERROR(IF(OR(AND(AA33="Muy Baja",AC33="Leve"),AND(AA33="Muy Baja",AC33="Menor"),AND(AA33="Baja",AC33="Leve")),"Bajo",IF(OR(AND(AA33="Muy baja",AC33="Moderado"),AND(AA33="Baja",AC33="Menor"),AND(AA33="Baja",AC33="Moderado"),AND(AA33="Media",AC33="Leve"),AND(AA33="Media",AC33="Menor"),AND(AA33="Media",AC33="Moderado"),AND(AA33="Alta",AC33="Leve"),AND(AA33="Alta",AC33="Menor")),"Moderado",IF(OR(AND(AA33="Muy Baja",AC33="Mayor"),AND(AA33="Baja",AC33="Mayor"),AND(AA33="Media",AC33="Mayor"),AND(AA33="Alta",AC33="Moderado"),AND(AA33="Alta",AC33="Mayor"),AND(AA33="Muy Alta",AC33="Leve"),AND(AA33="Muy Alta",AC33="Menor"),AND(AA33="Muy Alta",AC33="Moderado"),AND(AA33="Muy Alta",AC33="Mayor")),"Alto",IF(OR(AND(AA33="Muy Baja",AC33="Catastrófico"),AND(AA33="Baja",AC33="Catastrófico"),AND(AA33="Media",AC33="Catastrófico"),AND(AA33="Alta",AC33="Catastrófico"),AND(AA33="Muy Alta",AC33="Catastrófico")),"Extremo","")))),"")</f>
        <v/>
      </c>
      <c r="AF33" s="116"/>
      <c r="AG33" s="121"/>
      <c r="AH33" s="122"/>
      <c r="AI33" s="123"/>
      <c r="AJ33" s="123"/>
      <c r="AK33" s="121"/>
      <c r="AL33" s="122"/>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x14ac:dyDescent="0.3">
      <c r="A34" s="220"/>
      <c r="B34" s="139"/>
      <c r="C34" s="139"/>
      <c r="D34" s="221"/>
      <c r="E34" s="211"/>
      <c r="F34" s="141"/>
      <c r="G34" s="221"/>
      <c r="H34" s="140"/>
      <c r="I34" s="222"/>
      <c r="J34" s="218"/>
      <c r="K34" s="217"/>
      <c r="L34" s="216"/>
      <c r="M34" s="217">
        <f t="shared" ref="M34:M38" ca="1" si="34">IF(NOT(ISERROR(MATCH(L34,_xlfn.ANCHORARRAY(E45),0))),K47&amp;"Por favor no seleccionar los criterios de impacto",L34)</f>
        <v>0</v>
      </c>
      <c r="N34" s="218"/>
      <c r="O34" s="217"/>
      <c r="P34" s="219"/>
      <c r="Q34" s="113">
        <v>2</v>
      </c>
      <c r="R34" s="114"/>
      <c r="S34" s="115" t="str">
        <f>IF(OR(T34="Preventivo",T34="Detectivo"),"Probabilidad",IF(T34="Correctivo","Impacto",""))</f>
        <v/>
      </c>
      <c r="T34" s="116"/>
      <c r="U34" s="116"/>
      <c r="V34" s="117" t="str">
        <f t="shared" ref="V34:V38" si="35">IF(AND(T34="Preventivo",U34="Automático"),"50%",IF(AND(T34="Preventivo",U34="Manual"),"40%",IF(AND(T34="Detectivo",U34="Automático"),"40%",IF(AND(T34="Detectivo",U34="Manual"),"30%",IF(AND(T34="Correctivo",U34="Automático"),"35%",IF(AND(T34="Correctivo",U34="Manual"),"25%",""))))))</f>
        <v/>
      </c>
      <c r="W34" s="116"/>
      <c r="X34" s="116"/>
      <c r="Y34" s="116"/>
      <c r="Z34" s="118" t="str">
        <f>IFERROR(IF(AND(S33="Probabilidad",S34="Probabilidad"),(AB33-(+AB33*V34)),IF(S34="Probabilidad",(K33-(+K33*V34)),IF(S34="Impacto",AB33,""))),"")</f>
        <v/>
      </c>
      <c r="AA34" s="119" t="str">
        <f t="shared" si="0"/>
        <v/>
      </c>
      <c r="AB34" s="117" t="str">
        <f t="shared" ref="AB34:AB38" si="36">+Z34</f>
        <v/>
      </c>
      <c r="AC34" s="119" t="str">
        <f t="shared" si="2"/>
        <v/>
      </c>
      <c r="AD34" s="117" t="str">
        <f>IFERROR(IF(AND(S33="Impacto",S34="Impacto"),(AD27-(+AD27*V34)),IF(S34="Impacto",($O$33-(+$O$33*V34)),IF(S34="Probabilidad",AD27,""))),"")</f>
        <v/>
      </c>
      <c r="AE34" s="120" t="str">
        <f t="shared" ref="AE34:AE35" si="37">IFERROR(IF(OR(AND(AA34="Muy Baja",AC34="Leve"),AND(AA34="Muy Baja",AC34="Menor"),AND(AA34="Baja",AC34="Leve")),"Bajo",IF(OR(AND(AA34="Muy baja",AC34="Moderado"),AND(AA34="Baja",AC34="Menor"),AND(AA34="Baja",AC34="Moderado"),AND(AA34="Media",AC34="Leve"),AND(AA34="Media",AC34="Menor"),AND(AA34="Media",AC34="Moderado"),AND(AA34="Alta",AC34="Leve"),AND(AA34="Alta",AC34="Menor")),"Moderado",IF(OR(AND(AA34="Muy Baja",AC34="Mayor"),AND(AA34="Baja",AC34="Mayor"),AND(AA34="Media",AC34="Mayor"),AND(AA34="Alta",AC34="Moderado"),AND(AA34="Alta",AC34="Mayor"),AND(AA34="Muy Alta",AC34="Leve"),AND(AA34="Muy Alta",AC34="Menor"),AND(AA34="Muy Alta",AC34="Moderado"),AND(AA34="Muy Alta",AC34="Mayor")),"Alto",IF(OR(AND(AA34="Muy Baja",AC34="Catastrófico"),AND(AA34="Baja",AC34="Catastrófico"),AND(AA34="Media",AC34="Catastrófico"),AND(AA34="Alta",AC34="Catastrófico"),AND(AA34="Muy Alta",AC34="Catastrófico")),"Extremo","")))),"")</f>
        <v/>
      </c>
      <c r="AF34" s="116"/>
      <c r="AG34" s="121"/>
      <c r="AH34" s="122"/>
      <c r="AI34" s="123"/>
      <c r="AJ34" s="123"/>
      <c r="AK34" s="121"/>
      <c r="AL34" s="122"/>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x14ac:dyDescent="0.3">
      <c r="A35" s="220"/>
      <c r="B35" s="139"/>
      <c r="C35" s="139"/>
      <c r="D35" s="221"/>
      <c r="E35" s="211"/>
      <c r="F35" s="141"/>
      <c r="G35" s="221"/>
      <c r="H35" s="140"/>
      <c r="I35" s="222"/>
      <c r="J35" s="218"/>
      <c r="K35" s="217"/>
      <c r="L35" s="216"/>
      <c r="M35" s="217">
        <f t="shared" ca="1" si="34"/>
        <v>0</v>
      </c>
      <c r="N35" s="218"/>
      <c r="O35" s="217"/>
      <c r="P35" s="219"/>
      <c r="Q35" s="113">
        <v>3</v>
      </c>
      <c r="R35" s="126"/>
      <c r="S35" s="115" t="str">
        <f>IF(OR(T35="Preventivo",T35="Detectivo"),"Probabilidad",IF(T35="Correctivo","Impacto",""))</f>
        <v/>
      </c>
      <c r="T35" s="116"/>
      <c r="U35" s="116"/>
      <c r="V35" s="117" t="str">
        <f t="shared" si="35"/>
        <v/>
      </c>
      <c r="W35" s="116"/>
      <c r="X35" s="116"/>
      <c r="Y35" s="116"/>
      <c r="Z35" s="118" t="str">
        <f>IFERROR(IF(AND(S34="Probabilidad",S35="Probabilidad"),(AB34-(+AB34*V35)),IF(AND(S34="Impacto",S35="Probabilidad"),(AB33-(+AB33*V35)),IF(S35="Impacto",AB34,""))),"")</f>
        <v/>
      </c>
      <c r="AA35" s="119" t="str">
        <f t="shared" si="0"/>
        <v/>
      </c>
      <c r="AB35" s="117" t="str">
        <f t="shared" si="36"/>
        <v/>
      </c>
      <c r="AC35" s="119" t="str">
        <f t="shared" si="2"/>
        <v/>
      </c>
      <c r="AD35" s="117" t="str">
        <f>IFERROR(IF(AND(S34="Impacto",S35="Impacto"),(AD34-(+AD34*V35)),IF(AND(S34="Probabilidad",S35="Impacto"),(AD33-(+AD33*V35)),IF(S35="Probabilidad",AD34,""))),"")</f>
        <v/>
      </c>
      <c r="AE35" s="120" t="str">
        <f t="shared" si="37"/>
        <v/>
      </c>
      <c r="AF35" s="116"/>
      <c r="AG35" s="121"/>
      <c r="AH35" s="122"/>
      <c r="AI35" s="123"/>
      <c r="AJ35" s="123"/>
      <c r="AK35" s="121"/>
      <c r="AL35" s="122"/>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x14ac:dyDescent="0.3">
      <c r="A36" s="220"/>
      <c r="B36" s="139"/>
      <c r="C36" s="139"/>
      <c r="D36" s="221"/>
      <c r="E36" s="211"/>
      <c r="F36" s="141"/>
      <c r="G36" s="221"/>
      <c r="H36" s="140"/>
      <c r="I36" s="222"/>
      <c r="J36" s="218"/>
      <c r="K36" s="217"/>
      <c r="L36" s="216"/>
      <c r="M36" s="217">
        <f t="shared" ca="1" si="34"/>
        <v>0</v>
      </c>
      <c r="N36" s="218"/>
      <c r="O36" s="217"/>
      <c r="P36" s="219"/>
      <c r="Q36" s="113">
        <v>4</v>
      </c>
      <c r="R36" s="114"/>
      <c r="S36" s="115" t="str">
        <f t="shared" ref="S36:S38" si="38">IF(OR(T36="Preventivo",T36="Detectivo"),"Probabilidad",IF(T36="Correctivo","Impacto",""))</f>
        <v/>
      </c>
      <c r="T36" s="116"/>
      <c r="U36" s="116"/>
      <c r="V36" s="117" t="str">
        <f t="shared" si="35"/>
        <v/>
      </c>
      <c r="W36" s="116"/>
      <c r="X36" s="116"/>
      <c r="Y36" s="116"/>
      <c r="Z36" s="118" t="str">
        <f t="shared" ref="Z36:Z38" si="39">IFERROR(IF(AND(S35="Probabilidad",S36="Probabilidad"),(AB35-(+AB35*V36)),IF(AND(S35="Impacto",S36="Probabilidad"),(AB34-(+AB34*V36)),IF(S36="Impacto",AB35,""))),"")</f>
        <v/>
      </c>
      <c r="AA36" s="119" t="str">
        <f t="shared" si="0"/>
        <v/>
      </c>
      <c r="AB36" s="117" t="str">
        <f t="shared" si="36"/>
        <v/>
      </c>
      <c r="AC36" s="119" t="str">
        <f t="shared" si="2"/>
        <v/>
      </c>
      <c r="AD36" s="117" t="str">
        <f t="shared" ref="AD36:AD38" si="40">IFERROR(IF(AND(S35="Impacto",S36="Impacto"),(AD35-(+AD35*V36)),IF(AND(S35="Probabilidad",S36="Impacto"),(AD34-(+AD34*V36)),IF(S36="Probabilidad",AD35,""))),"")</f>
        <v/>
      </c>
      <c r="AE36" s="120" t="str">
        <f>IFERROR(IF(OR(AND(AA36="Muy Baja",AC36="Leve"),AND(AA36="Muy Baja",AC36="Menor"),AND(AA36="Baja",AC36="Leve")),"Bajo",IF(OR(AND(AA36="Muy baja",AC36="Moderado"),AND(AA36="Baja",AC36="Menor"),AND(AA36="Baja",AC36="Moderado"),AND(AA36="Media",AC36="Leve"),AND(AA36="Media",AC36="Menor"),AND(AA36="Media",AC36="Moderado"),AND(AA36="Alta",AC36="Leve"),AND(AA36="Alta",AC36="Menor")),"Moderado",IF(OR(AND(AA36="Muy Baja",AC36="Mayor"),AND(AA36="Baja",AC36="Mayor"),AND(AA36="Media",AC36="Mayor"),AND(AA36="Alta",AC36="Moderado"),AND(AA36="Alta",AC36="Mayor"),AND(AA36="Muy Alta",AC36="Leve"),AND(AA36="Muy Alta",AC36="Menor"),AND(AA36="Muy Alta",AC36="Moderado"),AND(AA36="Muy Alta",AC36="Mayor")),"Alto",IF(OR(AND(AA36="Muy Baja",AC36="Catastrófico"),AND(AA36="Baja",AC36="Catastrófico"),AND(AA36="Media",AC36="Catastrófico"),AND(AA36="Alta",AC36="Catastrófico"),AND(AA36="Muy Alta",AC36="Catastrófico")),"Extremo","")))),"")</f>
        <v/>
      </c>
      <c r="AF36" s="116"/>
      <c r="AG36" s="121"/>
      <c r="AH36" s="122"/>
      <c r="AI36" s="123"/>
      <c r="AJ36" s="123"/>
      <c r="AK36" s="121"/>
      <c r="AL36" s="122"/>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x14ac:dyDescent="0.3">
      <c r="A37" s="220"/>
      <c r="B37" s="139"/>
      <c r="C37" s="139"/>
      <c r="D37" s="221"/>
      <c r="E37" s="211"/>
      <c r="F37" s="141"/>
      <c r="G37" s="221"/>
      <c r="H37" s="140"/>
      <c r="I37" s="222"/>
      <c r="J37" s="218"/>
      <c r="K37" s="217"/>
      <c r="L37" s="216"/>
      <c r="M37" s="217">
        <f t="shared" ca="1" si="34"/>
        <v>0</v>
      </c>
      <c r="N37" s="218"/>
      <c r="O37" s="217"/>
      <c r="P37" s="219"/>
      <c r="Q37" s="113">
        <v>5</v>
      </c>
      <c r="R37" s="114"/>
      <c r="S37" s="115" t="str">
        <f t="shared" si="38"/>
        <v/>
      </c>
      <c r="T37" s="116"/>
      <c r="U37" s="116"/>
      <c r="V37" s="117" t="str">
        <f t="shared" si="35"/>
        <v/>
      </c>
      <c r="W37" s="116"/>
      <c r="X37" s="116"/>
      <c r="Y37" s="116"/>
      <c r="Z37" s="118" t="str">
        <f t="shared" si="39"/>
        <v/>
      </c>
      <c r="AA37" s="119" t="str">
        <f t="shared" si="0"/>
        <v/>
      </c>
      <c r="AB37" s="117" t="str">
        <f t="shared" si="36"/>
        <v/>
      </c>
      <c r="AC37" s="119" t="str">
        <f t="shared" si="2"/>
        <v/>
      </c>
      <c r="AD37" s="117" t="str">
        <f t="shared" si="40"/>
        <v/>
      </c>
      <c r="AE37" s="120" t="str">
        <f t="shared" ref="AE37:AE38" si="41">IFERROR(IF(OR(AND(AA37="Muy Baja",AC37="Leve"),AND(AA37="Muy Baja",AC37="Menor"),AND(AA37="Baja",AC37="Leve")),"Bajo",IF(OR(AND(AA37="Muy baja",AC37="Moderado"),AND(AA37="Baja",AC37="Menor"),AND(AA37="Baja",AC37="Moderado"),AND(AA37="Media",AC37="Leve"),AND(AA37="Media",AC37="Menor"),AND(AA37="Media",AC37="Moderado"),AND(AA37="Alta",AC37="Leve"),AND(AA37="Alta",AC37="Menor")),"Moderado",IF(OR(AND(AA37="Muy Baja",AC37="Mayor"),AND(AA37="Baja",AC37="Mayor"),AND(AA37="Media",AC37="Mayor"),AND(AA37="Alta",AC37="Moderado"),AND(AA37="Alta",AC37="Mayor"),AND(AA37="Muy Alta",AC37="Leve"),AND(AA37="Muy Alta",AC37="Menor"),AND(AA37="Muy Alta",AC37="Moderado"),AND(AA37="Muy Alta",AC37="Mayor")),"Alto",IF(OR(AND(AA37="Muy Baja",AC37="Catastrófico"),AND(AA37="Baja",AC37="Catastrófico"),AND(AA37="Media",AC37="Catastrófico"),AND(AA37="Alta",AC37="Catastrófico"),AND(AA37="Muy Alta",AC37="Catastrófico")),"Extremo","")))),"")</f>
        <v/>
      </c>
      <c r="AF37" s="116"/>
      <c r="AG37" s="121"/>
      <c r="AH37" s="122"/>
      <c r="AI37" s="123"/>
      <c r="AJ37" s="123"/>
      <c r="AK37" s="121"/>
      <c r="AL37" s="122"/>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x14ac:dyDescent="0.3">
      <c r="A38" s="220"/>
      <c r="B38" s="139"/>
      <c r="C38" s="139"/>
      <c r="D38" s="221"/>
      <c r="E38" s="211"/>
      <c r="F38" s="141"/>
      <c r="G38" s="221"/>
      <c r="H38" s="140"/>
      <c r="I38" s="222"/>
      <c r="J38" s="218"/>
      <c r="K38" s="217"/>
      <c r="L38" s="216"/>
      <c r="M38" s="217">
        <f t="shared" ca="1" si="34"/>
        <v>0</v>
      </c>
      <c r="N38" s="218"/>
      <c r="O38" s="217"/>
      <c r="P38" s="219"/>
      <c r="Q38" s="113">
        <v>6</v>
      </c>
      <c r="R38" s="114"/>
      <c r="S38" s="115" t="str">
        <f t="shared" si="38"/>
        <v/>
      </c>
      <c r="T38" s="116"/>
      <c r="U38" s="116"/>
      <c r="V38" s="117" t="str">
        <f t="shared" si="35"/>
        <v/>
      </c>
      <c r="W38" s="116"/>
      <c r="X38" s="116"/>
      <c r="Y38" s="116"/>
      <c r="Z38" s="118" t="str">
        <f t="shared" si="39"/>
        <v/>
      </c>
      <c r="AA38" s="119" t="str">
        <f t="shared" si="0"/>
        <v/>
      </c>
      <c r="AB38" s="117" t="str">
        <f t="shared" si="36"/>
        <v/>
      </c>
      <c r="AC38" s="119" t="str">
        <f t="shared" si="2"/>
        <v/>
      </c>
      <c r="AD38" s="117" t="str">
        <f t="shared" si="40"/>
        <v/>
      </c>
      <c r="AE38" s="120" t="str">
        <f t="shared" si="41"/>
        <v/>
      </c>
      <c r="AF38" s="116"/>
      <c r="AG38" s="121"/>
      <c r="AH38" s="122"/>
      <c r="AI38" s="123"/>
      <c r="AJ38" s="123"/>
      <c r="AK38" s="121"/>
      <c r="AL38" s="122"/>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20">
        <v>6</v>
      </c>
      <c r="B39" s="139"/>
      <c r="C39" s="139"/>
      <c r="D39" s="221"/>
      <c r="E39" s="211"/>
      <c r="F39" s="141"/>
      <c r="G39" s="221"/>
      <c r="H39" s="140"/>
      <c r="I39" s="222"/>
      <c r="J39" s="218" t="str">
        <f>IF(I39&lt;=0,"",IF(I39&lt;=2,"Muy Baja",IF(I39&lt;=24,"Baja",IF(I39&lt;=500,"Media",IF(I39&lt;=5000,"Alta","Muy Alta")))))</f>
        <v/>
      </c>
      <c r="K39" s="217" t="str">
        <f>IF(J39="","",IF(J39="Muy Baja",0.2,IF(J39="Baja",0.4,IF(J39="Media",0.6,IF(J39="Alta",0.8,IF(J39="Muy Alta",1,))))))</f>
        <v/>
      </c>
      <c r="L39" s="216"/>
      <c r="M39" s="217">
        <f>IF(NOT(ISERROR(MATCH(L39,'Tabla Impacto'!$B$221:$B$223,0))),'Tabla Impacto'!$F$223&amp;"Por favor no seleccionar los criterios de impacto(Afectación Económica o presupuestal y Pérdida Reputacional)",L39)</f>
        <v>0</v>
      </c>
      <c r="N39" s="218" t="str">
        <f>IF(OR(M39='Tabla Impacto'!$C$11,M39='Tabla Impacto'!$D$11),"Leve",IF(OR(M39='Tabla Impacto'!$C$12,M39='Tabla Impacto'!$D$12),"Menor",IF(OR(M39='Tabla Impacto'!$C$13,M39='Tabla Impacto'!$D$13),"Moderado",IF(OR(M39='Tabla Impacto'!$C$14,M39='Tabla Impacto'!$D$14),"Mayor",IF(OR(M39='Tabla Impacto'!$C$15,M39='Tabla Impacto'!$D$15),"Catastrófico","")))))</f>
        <v/>
      </c>
      <c r="O39" s="217" t="str">
        <f>IF(N39="","",IF(N39="Leve",0.2,IF(N39="Menor",0.4,IF(N39="Moderado",0.6,IF(N39="Mayor",0.8,IF(N39="Catastrófico",1,))))))</f>
        <v/>
      </c>
      <c r="P39" s="219" t="str">
        <f>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20"/>
      <c r="B40" s="139"/>
      <c r="C40" s="139"/>
      <c r="D40" s="221"/>
      <c r="E40" s="211"/>
      <c r="F40" s="141"/>
      <c r="G40" s="221"/>
      <c r="H40" s="140"/>
      <c r="I40" s="222"/>
      <c r="J40" s="218"/>
      <c r="K40" s="217"/>
      <c r="L40" s="216"/>
      <c r="M40" s="217">
        <f t="shared" ref="M40:M44" ca="1" si="42">IF(NOT(ISERROR(MATCH(L40,_xlfn.ANCHORARRAY(E51),0))),K53&amp;"Por favor no seleccionar los criterios de impacto",L40)</f>
        <v>0</v>
      </c>
      <c r="N40" s="218"/>
      <c r="O40" s="217"/>
      <c r="P40" s="219"/>
      <c r="Q40" s="113">
        <v>2</v>
      </c>
      <c r="R40" s="114"/>
      <c r="S40" s="115" t="str">
        <f>IF(OR(T40="Preventivo",T40="Detectivo"),"Probabilidad",IF(T40="Correctivo","Impacto",""))</f>
        <v/>
      </c>
      <c r="T40" s="116"/>
      <c r="U40" s="116"/>
      <c r="V40" s="117" t="str">
        <f t="shared" ref="V40:V44" si="43">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44">+Z40</f>
        <v/>
      </c>
      <c r="AC40" s="119" t="str">
        <f t="shared" si="2"/>
        <v/>
      </c>
      <c r="AD40" s="117" t="str">
        <f>IFERROR(IF(AND(S39="Impacto",S40="Impacto"),(AD33-(+AD33*V40)),IF(S40="Impacto",($O$39-(+$O$39*V40)),IF(S40="Probabilidad",AD33,""))),"")</f>
        <v/>
      </c>
      <c r="AE40" s="120" t="str">
        <f t="shared" ref="AE40:AE41" si="45">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20"/>
      <c r="B41" s="139"/>
      <c r="C41" s="139"/>
      <c r="D41" s="221"/>
      <c r="E41" s="211"/>
      <c r="F41" s="141"/>
      <c r="G41" s="221"/>
      <c r="H41" s="140"/>
      <c r="I41" s="222"/>
      <c r="J41" s="218"/>
      <c r="K41" s="217"/>
      <c r="L41" s="216"/>
      <c r="M41" s="217">
        <f t="shared" ca="1" si="42"/>
        <v>0</v>
      </c>
      <c r="N41" s="218"/>
      <c r="O41" s="217"/>
      <c r="P41" s="219"/>
      <c r="Q41" s="113">
        <v>3</v>
      </c>
      <c r="R41" s="126"/>
      <c r="S41" s="115" t="str">
        <f>IF(OR(T41="Preventivo",T41="Detectivo"),"Probabilidad",IF(T41="Correctivo","Impacto",""))</f>
        <v/>
      </c>
      <c r="T41" s="116"/>
      <c r="U41" s="116"/>
      <c r="V41" s="117" t="str">
        <f t="shared" si="43"/>
        <v/>
      </c>
      <c r="W41" s="116"/>
      <c r="X41" s="116"/>
      <c r="Y41" s="116"/>
      <c r="Z41" s="118" t="str">
        <f>IFERROR(IF(AND(S40="Probabilidad",S41="Probabilidad"),(AB40-(+AB40*V41)),IF(AND(S40="Impacto",S41="Probabilidad"),(AB39-(+AB39*V41)),IF(S41="Impacto",AB40,""))),"")</f>
        <v/>
      </c>
      <c r="AA41" s="119" t="str">
        <f t="shared" si="0"/>
        <v/>
      </c>
      <c r="AB41" s="117" t="str">
        <f t="shared" si="44"/>
        <v/>
      </c>
      <c r="AC41" s="119" t="str">
        <f t="shared" si="2"/>
        <v/>
      </c>
      <c r="AD41" s="117" t="str">
        <f>IFERROR(IF(AND(S40="Impacto",S41="Impacto"),(AD40-(+AD40*V41)),IF(AND(S40="Probabilidad",S41="Impacto"),(AD39-(+AD39*V41)),IF(S41="Probabilidad",AD40,""))),"")</f>
        <v/>
      </c>
      <c r="AE41" s="120" t="str">
        <f t="shared" si="45"/>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20"/>
      <c r="B42" s="139"/>
      <c r="C42" s="139"/>
      <c r="D42" s="221"/>
      <c r="E42" s="211"/>
      <c r="F42" s="141"/>
      <c r="G42" s="221"/>
      <c r="H42" s="140"/>
      <c r="I42" s="222"/>
      <c r="J42" s="218"/>
      <c r="K42" s="217"/>
      <c r="L42" s="216"/>
      <c r="M42" s="217">
        <f t="shared" ca="1" si="42"/>
        <v>0</v>
      </c>
      <c r="N42" s="218"/>
      <c r="O42" s="217"/>
      <c r="P42" s="219"/>
      <c r="Q42" s="113">
        <v>4</v>
      </c>
      <c r="R42" s="114"/>
      <c r="S42" s="115" t="str">
        <f t="shared" ref="S42:S44" si="46">IF(OR(T42="Preventivo",T42="Detectivo"),"Probabilidad",IF(T42="Correctivo","Impacto",""))</f>
        <v/>
      </c>
      <c r="T42" s="116"/>
      <c r="U42" s="116"/>
      <c r="V42" s="117" t="str">
        <f t="shared" si="43"/>
        <v/>
      </c>
      <c r="W42" s="116"/>
      <c r="X42" s="116"/>
      <c r="Y42" s="116"/>
      <c r="Z42" s="118" t="str">
        <f t="shared" ref="Z42:Z44" si="47">IFERROR(IF(AND(S41="Probabilidad",S42="Probabilidad"),(AB41-(+AB41*V42)),IF(AND(S41="Impacto",S42="Probabilidad"),(AB40-(+AB40*V42)),IF(S42="Impacto",AB41,""))),"")</f>
        <v/>
      </c>
      <c r="AA42" s="119" t="str">
        <f t="shared" si="0"/>
        <v/>
      </c>
      <c r="AB42" s="117" t="str">
        <f t="shared" si="44"/>
        <v/>
      </c>
      <c r="AC42" s="119" t="str">
        <f t="shared" si="2"/>
        <v/>
      </c>
      <c r="AD42" s="117" t="str">
        <f t="shared" ref="AD42:AD44" si="48">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20"/>
      <c r="B43" s="139"/>
      <c r="C43" s="139"/>
      <c r="D43" s="221"/>
      <c r="E43" s="211"/>
      <c r="F43" s="141"/>
      <c r="G43" s="221"/>
      <c r="H43" s="140"/>
      <c r="I43" s="222"/>
      <c r="J43" s="218"/>
      <c r="K43" s="217"/>
      <c r="L43" s="216"/>
      <c r="M43" s="217">
        <f t="shared" ca="1" si="42"/>
        <v>0</v>
      </c>
      <c r="N43" s="218"/>
      <c r="O43" s="217"/>
      <c r="P43" s="219"/>
      <c r="Q43" s="113">
        <v>5</v>
      </c>
      <c r="R43" s="114"/>
      <c r="S43" s="115" t="str">
        <f t="shared" si="46"/>
        <v/>
      </c>
      <c r="T43" s="116"/>
      <c r="U43" s="116"/>
      <c r="V43" s="117" t="str">
        <f t="shared" si="43"/>
        <v/>
      </c>
      <c r="W43" s="116"/>
      <c r="X43" s="116"/>
      <c r="Y43" s="116"/>
      <c r="Z43" s="118" t="str">
        <f t="shared" si="47"/>
        <v/>
      </c>
      <c r="AA43" s="119" t="str">
        <f t="shared" si="0"/>
        <v/>
      </c>
      <c r="AB43" s="117" t="str">
        <f t="shared" si="44"/>
        <v/>
      </c>
      <c r="AC43" s="119" t="str">
        <f t="shared" si="2"/>
        <v/>
      </c>
      <c r="AD43" s="117" t="str">
        <f t="shared" si="48"/>
        <v/>
      </c>
      <c r="AE43" s="120" t="str">
        <f t="shared" ref="AE43" si="49">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20"/>
      <c r="B44" s="139"/>
      <c r="C44" s="139"/>
      <c r="D44" s="221"/>
      <c r="E44" s="211"/>
      <c r="F44" s="141"/>
      <c r="G44" s="221"/>
      <c r="H44" s="140"/>
      <c r="I44" s="222"/>
      <c r="J44" s="218"/>
      <c r="K44" s="217"/>
      <c r="L44" s="216"/>
      <c r="M44" s="217">
        <f t="shared" ca="1" si="42"/>
        <v>0</v>
      </c>
      <c r="N44" s="218"/>
      <c r="O44" s="217"/>
      <c r="P44" s="219"/>
      <c r="Q44" s="113">
        <v>6</v>
      </c>
      <c r="R44" s="114"/>
      <c r="S44" s="115" t="str">
        <f t="shared" si="46"/>
        <v/>
      </c>
      <c r="T44" s="116"/>
      <c r="U44" s="116"/>
      <c r="V44" s="117" t="str">
        <f t="shared" si="43"/>
        <v/>
      </c>
      <c r="W44" s="116"/>
      <c r="X44" s="116"/>
      <c r="Y44" s="116"/>
      <c r="Z44" s="118" t="str">
        <f t="shared" si="47"/>
        <v/>
      </c>
      <c r="AA44" s="119" t="str">
        <f t="shared" si="0"/>
        <v/>
      </c>
      <c r="AB44" s="117" t="str">
        <f t="shared" si="44"/>
        <v/>
      </c>
      <c r="AC44" s="119" t="str">
        <f>IFERROR(IF(AD44="","",IF(AD44&lt;=0.2,"Leve",IF(AD44&lt;=0.4,"Menor",IF(AD44&lt;=0.6,"Moderado",IF(AD44&lt;=0.8,"Mayor","Catastrófico"))))),"")</f>
        <v/>
      </c>
      <c r="AD44" s="117" t="str">
        <f t="shared" si="48"/>
        <v/>
      </c>
      <c r="AE44" s="120" t="str">
        <f>IFERROR(IF(OR(AND(AA44="Muy Baja",AC44="Leve"),AND(AA44="Muy Baja",AC44="Menor"),AND(AA44="Baja",AC44="Leve")),"Bajo",IF(OR(AND(AA44="Muy baja",AC44="Moderado"),AND(AA44="Baja",AC44="Menor"),AND(AA44="Baja",AC44="Moderado"),AND(AA44="Media",AC44="Leve"),AND(AA44="Media",AC44="Menor"),AND(AA44="Media",AC44="Moderado"),AND(AA44="Alta",AC44="Leve"),AND(AA44="Alta",AC44="Menor")),"Moderado",IF(OR(AND(AA44="Muy Baja",AC44="Mayor"),AND(AA44="Baja",AC44="Mayor"),AND(AA44="Media",AC44="Mayor"),AND(AA44="Alta",AC44="Moderado"),AND(AA44="Alta",AC44="Mayor"),AND(AA44="Muy Alta",AC44="Leve"),AND(AA44="Muy Alta",AC44="Menor"),AND(AA44="Muy Alta",AC44="Moderado"),AND(AA44="Muy Alta",AC44="Mayor")),"Alto",IF(OR(AND(AA44="Muy Baja",AC44="Catastrófico"),AND(AA44="Baja",AC44="Catastrófico"),AND(AA44="Media",AC44="Catastrófico"),AND(AA44="Alta",AC44="Catastrófico"),AND(AA44="Muy Alta",AC44="Catastrófico")),"Extremo","")))),"")</f>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20">
        <v>7</v>
      </c>
      <c r="B45" s="139"/>
      <c r="C45" s="139"/>
      <c r="D45" s="221"/>
      <c r="E45" s="211"/>
      <c r="F45" s="141"/>
      <c r="G45" s="221"/>
      <c r="H45" s="140"/>
      <c r="I45" s="222"/>
      <c r="J45" s="218" t="str">
        <f>IF(I45&lt;=0,"",IF(I45&lt;=2,"Muy Baja",IF(I45&lt;=24,"Baja",IF(I45&lt;=500,"Media",IF(I45&lt;=5000,"Alta","Muy Alta")))))</f>
        <v/>
      </c>
      <c r="K45" s="217" t="str">
        <f>IF(J45="","",IF(J45="Muy Baja",0.2,IF(J45="Baja",0.4,IF(J45="Media",0.6,IF(J45="Alta",0.8,IF(J45="Muy Alta",1,))))))</f>
        <v/>
      </c>
      <c r="L45" s="216"/>
      <c r="M45" s="217">
        <f>IF(NOT(ISERROR(MATCH(L45,'Tabla Impacto'!$B$221:$B$223,0))),'Tabla Impacto'!$F$223&amp;"Por favor no seleccionar los criterios de impacto(Afectación Económica o presupuestal y Pérdida Reputacional)",L45)</f>
        <v>0</v>
      </c>
      <c r="N45" s="218" t="str">
        <f>IF(OR(M45='Tabla Impacto'!$C$11,M45='Tabla Impacto'!$D$11),"Leve",IF(OR(M45='Tabla Impacto'!$C$12,M45='Tabla Impacto'!$D$12),"Menor",IF(OR(M45='Tabla Impacto'!$C$13,M45='Tabla Impacto'!$D$13),"Moderado",IF(OR(M45='Tabla Impacto'!$C$14,M45='Tabla Impacto'!$D$14),"Mayor",IF(OR(M45='Tabla Impacto'!$C$15,M45='Tabla Impacto'!$D$15),"Catastrófico","")))))</f>
        <v/>
      </c>
      <c r="O45" s="217" t="str">
        <f>IF(N45="","",IF(N45="Leve",0.2,IF(N45="Menor",0.4,IF(N45="Moderado",0.6,IF(N45="Mayor",0.8,IF(N45="Catastrófico",1,))))))</f>
        <v/>
      </c>
      <c r="P45" s="219" t="str">
        <f>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20"/>
      <c r="B46" s="139"/>
      <c r="C46" s="139"/>
      <c r="D46" s="221"/>
      <c r="E46" s="211"/>
      <c r="F46" s="141"/>
      <c r="G46" s="221"/>
      <c r="H46" s="140"/>
      <c r="I46" s="222"/>
      <c r="J46" s="218"/>
      <c r="K46" s="217"/>
      <c r="L46" s="216"/>
      <c r="M46" s="217">
        <f t="shared" ref="M46:M50" ca="1" si="50">IF(NOT(ISERROR(MATCH(L46,_xlfn.ANCHORARRAY(E57),0))),K59&amp;"Por favor no seleccionar los criterios de impacto",L46)</f>
        <v>0</v>
      </c>
      <c r="N46" s="218"/>
      <c r="O46" s="217"/>
      <c r="P46" s="219"/>
      <c r="Q46" s="113">
        <v>2</v>
      </c>
      <c r="R46" s="114"/>
      <c r="S46" s="115" t="str">
        <f>IF(OR(T46="Preventivo",T46="Detectivo"),"Probabilidad",IF(T46="Correctivo","Impacto",""))</f>
        <v/>
      </c>
      <c r="T46" s="116"/>
      <c r="U46" s="116"/>
      <c r="V46" s="117" t="str">
        <f t="shared" ref="V46:V50" si="51">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52">+Z46</f>
        <v/>
      </c>
      <c r="AC46" s="119" t="str">
        <f t="shared" si="2"/>
        <v/>
      </c>
      <c r="AD46" s="117" t="str">
        <f>IFERROR(IF(AND(S45="Impacto",S46="Impacto"),(AD39-(+AD39*V46)),IF(S46="Impacto",($O$45-(+$O$45*V46)),IF(S46="Probabilidad",AD39,""))),"")</f>
        <v/>
      </c>
      <c r="AE46" s="120" t="str">
        <f t="shared" ref="AE46:AE47" si="53">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20"/>
      <c r="B47" s="139"/>
      <c r="C47" s="139"/>
      <c r="D47" s="221"/>
      <c r="E47" s="211"/>
      <c r="F47" s="141"/>
      <c r="G47" s="221"/>
      <c r="H47" s="140"/>
      <c r="I47" s="222"/>
      <c r="J47" s="218"/>
      <c r="K47" s="217"/>
      <c r="L47" s="216"/>
      <c r="M47" s="217">
        <f t="shared" ca="1" si="50"/>
        <v>0</v>
      </c>
      <c r="N47" s="218"/>
      <c r="O47" s="217"/>
      <c r="P47" s="219"/>
      <c r="Q47" s="113">
        <v>3</v>
      </c>
      <c r="R47" s="126"/>
      <c r="S47" s="115" t="str">
        <f>IF(OR(T47="Preventivo",T47="Detectivo"),"Probabilidad",IF(T47="Correctivo","Impacto",""))</f>
        <v/>
      </c>
      <c r="T47" s="116"/>
      <c r="U47" s="116"/>
      <c r="V47" s="117" t="str">
        <f t="shared" si="51"/>
        <v/>
      </c>
      <c r="W47" s="116"/>
      <c r="X47" s="116"/>
      <c r="Y47" s="116"/>
      <c r="Z47" s="118" t="str">
        <f>IFERROR(IF(AND(S46="Probabilidad",S47="Probabilidad"),(AB46-(+AB46*V47)),IF(AND(S46="Impacto",S47="Probabilidad"),(AB45-(+AB45*V47)),IF(S47="Impacto",AB46,""))),"")</f>
        <v/>
      </c>
      <c r="AA47" s="119" t="str">
        <f t="shared" si="0"/>
        <v/>
      </c>
      <c r="AB47" s="117" t="str">
        <f t="shared" si="52"/>
        <v/>
      </c>
      <c r="AC47" s="119" t="str">
        <f t="shared" si="2"/>
        <v/>
      </c>
      <c r="AD47" s="117" t="str">
        <f>IFERROR(IF(AND(S46="Impacto",S47="Impacto"),(AD46-(+AD46*V47)),IF(AND(S46="Probabilidad",S47="Impacto"),(AD45-(+AD45*V47)),IF(S47="Probabilidad",AD46,""))),"")</f>
        <v/>
      </c>
      <c r="AE47" s="120" t="str">
        <f t="shared" si="53"/>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20"/>
      <c r="B48" s="139"/>
      <c r="C48" s="139"/>
      <c r="D48" s="221"/>
      <c r="E48" s="211"/>
      <c r="F48" s="141"/>
      <c r="G48" s="221"/>
      <c r="H48" s="140"/>
      <c r="I48" s="222"/>
      <c r="J48" s="218"/>
      <c r="K48" s="217"/>
      <c r="L48" s="216"/>
      <c r="M48" s="217">
        <f t="shared" ca="1" si="50"/>
        <v>0</v>
      </c>
      <c r="N48" s="218"/>
      <c r="O48" s="217"/>
      <c r="P48" s="219"/>
      <c r="Q48" s="113">
        <v>4</v>
      </c>
      <c r="R48" s="114"/>
      <c r="S48" s="115" t="str">
        <f t="shared" ref="S48:S50" si="54">IF(OR(T48="Preventivo",T48="Detectivo"),"Probabilidad",IF(T48="Correctivo","Impacto",""))</f>
        <v/>
      </c>
      <c r="T48" s="116"/>
      <c r="U48" s="116"/>
      <c r="V48" s="117" t="str">
        <f t="shared" si="51"/>
        <v/>
      </c>
      <c r="W48" s="116"/>
      <c r="X48" s="116"/>
      <c r="Y48" s="116"/>
      <c r="Z48" s="118" t="str">
        <f t="shared" ref="Z48:Z50" si="55">IFERROR(IF(AND(S47="Probabilidad",S48="Probabilidad"),(AB47-(+AB47*V48)),IF(AND(S47="Impacto",S48="Probabilidad"),(AB46-(+AB46*V48)),IF(S48="Impacto",AB47,""))),"")</f>
        <v/>
      </c>
      <c r="AA48" s="119" t="str">
        <f t="shared" si="0"/>
        <v/>
      </c>
      <c r="AB48" s="117" t="str">
        <f t="shared" si="52"/>
        <v/>
      </c>
      <c r="AC48" s="119" t="str">
        <f t="shared" si="2"/>
        <v/>
      </c>
      <c r="AD48" s="117" t="str">
        <f t="shared" ref="AD48:AD50" si="56">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20"/>
      <c r="B49" s="139"/>
      <c r="C49" s="139"/>
      <c r="D49" s="221"/>
      <c r="E49" s="211"/>
      <c r="F49" s="141"/>
      <c r="G49" s="221"/>
      <c r="H49" s="140"/>
      <c r="I49" s="222"/>
      <c r="J49" s="218"/>
      <c r="K49" s="217"/>
      <c r="L49" s="216"/>
      <c r="M49" s="217">
        <f t="shared" ca="1" si="50"/>
        <v>0</v>
      </c>
      <c r="N49" s="218"/>
      <c r="O49" s="217"/>
      <c r="P49" s="219"/>
      <c r="Q49" s="113">
        <v>5</v>
      </c>
      <c r="R49" s="114"/>
      <c r="S49" s="115" t="str">
        <f t="shared" si="54"/>
        <v/>
      </c>
      <c r="T49" s="116"/>
      <c r="U49" s="116"/>
      <c r="V49" s="117" t="str">
        <f t="shared" si="51"/>
        <v/>
      </c>
      <c r="W49" s="116"/>
      <c r="X49" s="116"/>
      <c r="Y49" s="116"/>
      <c r="Z49" s="118" t="str">
        <f t="shared" si="55"/>
        <v/>
      </c>
      <c r="AA49" s="119" t="str">
        <f t="shared" si="0"/>
        <v/>
      </c>
      <c r="AB49" s="117" t="str">
        <f t="shared" si="52"/>
        <v/>
      </c>
      <c r="AC49" s="119" t="str">
        <f t="shared" si="2"/>
        <v/>
      </c>
      <c r="AD49" s="117" t="str">
        <f t="shared" si="56"/>
        <v/>
      </c>
      <c r="AE49" s="120" t="str">
        <f t="shared" ref="AE49:AE50" si="57">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20"/>
      <c r="B50" s="139"/>
      <c r="C50" s="139"/>
      <c r="D50" s="221"/>
      <c r="E50" s="211"/>
      <c r="F50" s="141"/>
      <c r="G50" s="221"/>
      <c r="H50" s="140"/>
      <c r="I50" s="222"/>
      <c r="J50" s="218"/>
      <c r="K50" s="217"/>
      <c r="L50" s="216"/>
      <c r="M50" s="217">
        <f t="shared" ca="1" si="50"/>
        <v>0</v>
      </c>
      <c r="N50" s="218"/>
      <c r="O50" s="217"/>
      <c r="P50" s="219"/>
      <c r="Q50" s="113">
        <v>6</v>
      </c>
      <c r="R50" s="114"/>
      <c r="S50" s="115" t="str">
        <f t="shared" si="54"/>
        <v/>
      </c>
      <c r="T50" s="116"/>
      <c r="U50" s="116"/>
      <c r="V50" s="117" t="str">
        <f t="shared" si="51"/>
        <v/>
      </c>
      <c r="W50" s="116"/>
      <c r="X50" s="116"/>
      <c r="Y50" s="116"/>
      <c r="Z50" s="118" t="str">
        <f t="shared" si="55"/>
        <v/>
      </c>
      <c r="AA50" s="119" t="str">
        <f t="shared" si="0"/>
        <v/>
      </c>
      <c r="AB50" s="117" t="str">
        <f t="shared" si="52"/>
        <v/>
      </c>
      <c r="AC50" s="119" t="str">
        <f t="shared" si="2"/>
        <v/>
      </c>
      <c r="AD50" s="117" t="str">
        <f t="shared" si="56"/>
        <v/>
      </c>
      <c r="AE50" s="120" t="str">
        <f t="shared" si="57"/>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20">
        <v>8</v>
      </c>
      <c r="B51" s="139"/>
      <c r="C51" s="139"/>
      <c r="D51" s="221"/>
      <c r="E51" s="211"/>
      <c r="F51" s="141"/>
      <c r="G51" s="221"/>
      <c r="H51" s="140"/>
      <c r="I51" s="222"/>
      <c r="J51" s="218" t="str">
        <f>IF(I51&lt;=0,"",IF(I51&lt;=2,"Muy Baja",IF(I51&lt;=24,"Baja",IF(I51&lt;=500,"Media",IF(I51&lt;=5000,"Alta","Muy Alta")))))</f>
        <v/>
      </c>
      <c r="K51" s="217" t="str">
        <f>IF(J51="","",IF(J51="Muy Baja",0.2,IF(J51="Baja",0.4,IF(J51="Media",0.6,IF(J51="Alta",0.8,IF(J51="Muy Alta",1,))))))</f>
        <v/>
      </c>
      <c r="L51" s="216"/>
      <c r="M51" s="217">
        <f>IF(NOT(ISERROR(MATCH(L51,'Tabla Impacto'!$B$221:$B$223,0))),'Tabla Impacto'!$F$223&amp;"Por favor no seleccionar los criterios de impacto(Afectación Económica o presupuestal y Pérdida Reputacional)",L51)</f>
        <v>0</v>
      </c>
      <c r="N51" s="218" t="str">
        <f>IF(OR(M51='Tabla Impacto'!$C$11,M51='Tabla Impacto'!$D$11),"Leve",IF(OR(M51='Tabla Impacto'!$C$12,M51='Tabla Impacto'!$D$12),"Menor",IF(OR(M51='Tabla Impacto'!$C$13,M51='Tabla Impacto'!$D$13),"Moderado",IF(OR(M51='Tabla Impacto'!$C$14,M51='Tabla Impacto'!$D$14),"Mayor",IF(OR(M51='Tabla Impacto'!$C$15,M51='Tabla Impacto'!$D$15),"Catastrófico","")))))</f>
        <v/>
      </c>
      <c r="O51" s="217" t="str">
        <f>IF(N51="","",IF(N51="Leve",0.2,IF(N51="Menor",0.4,IF(N51="Moderado",0.6,IF(N51="Mayor",0.8,IF(N51="Catastrófico",1,))))))</f>
        <v/>
      </c>
      <c r="P51" s="219" t="str">
        <f>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20"/>
      <c r="B52" s="139"/>
      <c r="C52" s="139"/>
      <c r="D52" s="221"/>
      <c r="E52" s="211"/>
      <c r="F52" s="141"/>
      <c r="G52" s="221"/>
      <c r="H52" s="140"/>
      <c r="I52" s="222"/>
      <c r="J52" s="218"/>
      <c r="K52" s="217"/>
      <c r="L52" s="216"/>
      <c r="M52" s="217">
        <f ca="1">IF(NOT(ISERROR(MATCH(L52,_xlfn.ANCHORARRAY(E63),0))),K65&amp;"Por favor no seleccionar los criterios de impacto",L52)</f>
        <v>0</v>
      </c>
      <c r="N52" s="218"/>
      <c r="O52" s="217"/>
      <c r="P52" s="219"/>
      <c r="Q52" s="113">
        <v>2</v>
      </c>
      <c r="R52" s="114"/>
      <c r="S52" s="115" t="str">
        <f>IF(OR(T52="Preventivo",T52="Detectivo"),"Probabilidad",IF(T52="Correctivo","Impacto",""))</f>
        <v/>
      </c>
      <c r="T52" s="116"/>
      <c r="U52" s="116"/>
      <c r="V52" s="117" t="str">
        <f t="shared" ref="V52:V56" si="58">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59">+Z52</f>
        <v/>
      </c>
      <c r="AC52" s="119" t="str">
        <f t="shared" si="2"/>
        <v/>
      </c>
      <c r="AD52" s="117" t="str">
        <f>IFERROR(IF(AND(S51="Impacto",S52="Impacto"),(AD45-(+AD45*V52)),IF(S52="Impacto",($O$51-(+$O$51*V52)),IF(S52="Probabilidad",AD45,""))),"")</f>
        <v/>
      </c>
      <c r="AE52" s="120" t="str">
        <f t="shared" ref="AE52:AE53" si="60">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20"/>
      <c r="B53" s="139"/>
      <c r="C53" s="139"/>
      <c r="D53" s="221"/>
      <c r="E53" s="211"/>
      <c r="F53" s="141"/>
      <c r="G53" s="221"/>
      <c r="H53" s="140"/>
      <c r="I53" s="222"/>
      <c r="J53" s="218"/>
      <c r="K53" s="217"/>
      <c r="L53" s="216"/>
      <c r="M53" s="217">
        <f ca="1">IF(NOT(ISERROR(MATCH(L53,_xlfn.ANCHORARRAY(E64),0))),K66&amp;"Por favor no seleccionar los criterios de impacto",L53)</f>
        <v>0</v>
      </c>
      <c r="N53" s="218"/>
      <c r="O53" s="217"/>
      <c r="P53" s="219"/>
      <c r="Q53" s="113">
        <v>3</v>
      </c>
      <c r="R53" s="126"/>
      <c r="S53" s="115" t="str">
        <f>IF(OR(T53="Preventivo",T53="Detectivo"),"Probabilidad",IF(T53="Correctivo","Impacto",""))</f>
        <v/>
      </c>
      <c r="T53" s="116"/>
      <c r="U53" s="116"/>
      <c r="V53" s="117" t="str">
        <f t="shared" si="58"/>
        <v/>
      </c>
      <c r="W53" s="116"/>
      <c r="X53" s="116"/>
      <c r="Y53" s="116"/>
      <c r="Z53" s="118" t="str">
        <f>IFERROR(IF(AND(S52="Probabilidad",S53="Probabilidad"),(AB52-(+AB52*V53)),IF(AND(S52="Impacto",S53="Probabilidad"),(AB51-(+AB51*V53)),IF(S53="Impacto",AB52,""))),"")</f>
        <v/>
      </c>
      <c r="AA53" s="119" t="str">
        <f t="shared" si="0"/>
        <v/>
      </c>
      <c r="AB53" s="117" t="str">
        <f t="shared" si="59"/>
        <v/>
      </c>
      <c r="AC53" s="119" t="str">
        <f t="shared" si="2"/>
        <v/>
      </c>
      <c r="AD53" s="117" t="str">
        <f>IFERROR(IF(AND(S52="Impacto",S53="Impacto"),(AD52-(+AD52*V53)),IF(AND(S52="Probabilidad",S53="Impacto"),(AD51-(+AD51*V53)),IF(S53="Probabilidad",AD52,""))),"")</f>
        <v/>
      </c>
      <c r="AE53" s="120" t="str">
        <f t="shared" si="60"/>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20"/>
      <c r="B54" s="139"/>
      <c r="C54" s="139"/>
      <c r="D54" s="221"/>
      <c r="E54" s="211"/>
      <c r="F54" s="141"/>
      <c r="G54" s="221"/>
      <c r="H54" s="140"/>
      <c r="I54" s="222"/>
      <c r="J54" s="218"/>
      <c r="K54" s="217"/>
      <c r="L54" s="216"/>
      <c r="M54" s="217">
        <f ca="1">IF(NOT(ISERROR(MATCH(L54,_xlfn.ANCHORARRAY(E65),0))),K67&amp;"Por favor no seleccionar los criterios de impacto",L54)</f>
        <v>0</v>
      </c>
      <c r="N54" s="218"/>
      <c r="O54" s="217"/>
      <c r="P54" s="219"/>
      <c r="Q54" s="113">
        <v>4</v>
      </c>
      <c r="R54" s="114"/>
      <c r="S54" s="115" t="str">
        <f t="shared" ref="S54:S56" si="61">IF(OR(T54="Preventivo",T54="Detectivo"),"Probabilidad",IF(T54="Correctivo","Impacto",""))</f>
        <v/>
      </c>
      <c r="T54" s="116"/>
      <c r="U54" s="116"/>
      <c r="V54" s="117" t="str">
        <f t="shared" si="58"/>
        <v/>
      </c>
      <c r="W54" s="116"/>
      <c r="X54" s="116"/>
      <c r="Y54" s="116"/>
      <c r="Z54" s="118" t="str">
        <f t="shared" ref="Z54:Z56" si="62">IFERROR(IF(AND(S53="Probabilidad",S54="Probabilidad"),(AB53-(+AB53*V54)),IF(AND(S53="Impacto",S54="Probabilidad"),(AB52-(+AB52*V54)),IF(S54="Impacto",AB53,""))),"")</f>
        <v/>
      </c>
      <c r="AA54" s="119" t="str">
        <f t="shared" si="0"/>
        <v/>
      </c>
      <c r="AB54" s="117" t="str">
        <f t="shared" si="59"/>
        <v/>
      </c>
      <c r="AC54" s="119" t="str">
        <f t="shared" si="2"/>
        <v/>
      </c>
      <c r="AD54" s="117" t="str">
        <f t="shared" ref="AD54:AD56" si="63">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20"/>
      <c r="B55" s="139"/>
      <c r="C55" s="139"/>
      <c r="D55" s="221"/>
      <c r="E55" s="211"/>
      <c r="F55" s="141"/>
      <c r="G55" s="221"/>
      <c r="H55" s="140"/>
      <c r="I55" s="222"/>
      <c r="J55" s="218"/>
      <c r="K55" s="217"/>
      <c r="L55" s="216"/>
      <c r="M55" s="217">
        <f ca="1">IF(NOT(ISERROR(MATCH(L55,_xlfn.ANCHORARRAY(E66),0))),K68&amp;"Por favor no seleccionar los criterios de impacto",L55)</f>
        <v>0</v>
      </c>
      <c r="N55" s="218"/>
      <c r="O55" s="217"/>
      <c r="P55" s="219"/>
      <c r="Q55" s="113">
        <v>5</v>
      </c>
      <c r="R55" s="114"/>
      <c r="S55" s="115" t="str">
        <f t="shared" si="61"/>
        <v/>
      </c>
      <c r="T55" s="116"/>
      <c r="U55" s="116"/>
      <c r="V55" s="117" t="str">
        <f t="shared" si="58"/>
        <v/>
      </c>
      <c r="W55" s="116"/>
      <c r="X55" s="116"/>
      <c r="Y55" s="116"/>
      <c r="Z55" s="118" t="str">
        <f t="shared" si="62"/>
        <v/>
      </c>
      <c r="AA55" s="119" t="str">
        <f t="shared" si="0"/>
        <v/>
      </c>
      <c r="AB55" s="117" t="str">
        <f t="shared" si="59"/>
        <v/>
      </c>
      <c r="AC55" s="119" t="str">
        <f t="shared" si="2"/>
        <v/>
      </c>
      <c r="AD55" s="117" t="str">
        <f t="shared" si="63"/>
        <v/>
      </c>
      <c r="AE55" s="120" t="str">
        <f t="shared" ref="AE55:AE56" si="64">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20"/>
      <c r="B56" s="139"/>
      <c r="C56" s="139"/>
      <c r="D56" s="221"/>
      <c r="E56" s="211"/>
      <c r="F56" s="141"/>
      <c r="G56" s="221"/>
      <c r="H56" s="140"/>
      <c r="I56" s="222"/>
      <c r="J56" s="218"/>
      <c r="K56" s="217"/>
      <c r="L56" s="216"/>
      <c r="M56" s="217">
        <f ca="1">IF(NOT(ISERROR(MATCH(L56,_xlfn.ANCHORARRAY(E67),0))),K70&amp;"Por favor no seleccionar los criterios de impacto",L56)</f>
        <v>0</v>
      </c>
      <c r="N56" s="218"/>
      <c r="O56" s="217"/>
      <c r="P56" s="219"/>
      <c r="Q56" s="113">
        <v>6</v>
      </c>
      <c r="R56" s="114"/>
      <c r="S56" s="115" t="str">
        <f t="shared" si="61"/>
        <v/>
      </c>
      <c r="T56" s="116"/>
      <c r="U56" s="116"/>
      <c r="V56" s="117" t="str">
        <f t="shared" si="58"/>
        <v/>
      </c>
      <c r="W56" s="116"/>
      <c r="X56" s="116"/>
      <c r="Y56" s="116"/>
      <c r="Z56" s="118" t="str">
        <f t="shared" si="62"/>
        <v/>
      </c>
      <c r="AA56" s="119" t="str">
        <f t="shared" si="0"/>
        <v/>
      </c>
      <c r="AB56" s="117" t="str">
        <f t="shared" si="59"/>
        <v/>
      </c>
      <c r="AC56" s="119" t="str">
        <f t="shared" si="2"/>
        <v/>
      </c>
      <c r="AD56" s="117" t="str">
        <f t="shared" si="63"/>
        <v/>
      </c>
      <c r="AE56" s="120" t="str">
        <f t="shared" si="64"/>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20">
        <v>9</v>
      </c>
      <c r="B57" s="139"/>
      <c r="C57" s="139"/>
      <c r="D57" s="221"/>
      <c r="E57" s="211"/>
      <c r="F57" s="141"/>
      <c r="G57" s="221"/>
      <c r="H57" s="140"/>
      <c r="I57" s="222"/>
      <c r="J57" s="218" t="str">
        <f>IF(I57&lt;=0,"",IF(I57&lt;=2,"Muy Baja",IF(I57&lt;=24,"Baja",IF(I57&lt;=500,"Media",IF(I57&lt;=5000,"Alta","Muy Alta")))))</f>
        <v/>
      </c>
      <c r="K57" s="217" t="str">
        <f>IF(J57="","",IF(J57="Muy Baja",0.2,IF(J57="Baja",0.4,IF(J57="Media",0.6,IF(J57="Alta",0.8,IF(J57="Muy Alta",1,))))))</f>
        <v/>
      </c>
      <c r="L57" s="216"/>
      <c r="M57" s="217">
        <f>IF(NOT(ISERROR(MATCH(L57,'Tabla Impacto'!$B$221:$B$223,0))),'Tabla Impacto'!$F$223&amp;"Por favor no seleccionar los criterios de impacto(Afectación Económica o presupuestal y Pérdida Reputacional)",L57)</f>
        <v>0</v>
      </c>
      <c r="N57" s="218" t="str">
        <f>IF(OR(M57='Tabla Impacto'!$C$11,M57='Tabla Impacto'!$D$11),"Leve",IF(OR(M57='Tabla Impacto'!$C$12,M57='Tabla Impacto'!$D$12),"Menor",IF(OR(M57='Tabla Impacto'!$C$13,M57='Tabla Impacto'!$D$13),"Moderado",IF(OR(M57='Tabla Impacto'!$C$14,M57='Tabla Impacto'!$D$14),"Mayor",IF(OR(M57='Tabla Impacto'!$C$15,M57='Tabla Impacto'!$D$15),"Catastrófico","")))))</f>
        <v/>
      </c>
      <c r="O57" s="217" t="str">
        <f>IF(N57="","",IF(N57="Leve",0.2,IF(N57="Menor",0.4,IF(N57="Moderado",0.6,IF(N57="Mayor",0.8,IF(N57="Catastrófico",1,))))))</f>
        <v/>
      </c>
      <c r="P57" s="219" t="str">
        <f>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20"/>
      <c r="B58" s="139"/>
      <c r="C58" s="139"/>
      <c r="D58" s="221"/>
      <c r="E58" s="211"/>
      <c r="F58" s="141"/>
      <c r="G58" s="221"/>
      <c r="H58" s="140"/>
      <c r="I58" s="222"/>
      <c r="J58" s="218"/>
      <c r="K58" s="217"/>
      <c r="L58" s="216"/>
      <c r="M58" s="217">
        <f ca="1">IF(NOT(ISERROR(MATCH(L58,_xlfn.ANCHORARRAY(E70),0))),K72&amp;"Por favor no seleccionar los criterios de impacto",L58)</f>
        <v>0</v>
      </c>
      <c r="N58" s="218"/>
      <c r="O58" s="217"/>
      <c r="P58" s="219"/>
      <c r="Q58" s="113">
        <v>2</v>
      </c>
      <c r="R58" s="114"/>
      <c r="S58" s="115" t="str">
        <f>IF(OR(T58="Preventivo",T58="Detectivo"),"Probabilidad",IF(T58="Correctivo","Impacto",""))</f>
        <v/>
      </c>
      <c r="T58" s="116"/>
      <c r="U58" s="116"/>
      <c r="V58" s="117" t="str">
        <f t="shared" ref="V58:V62" si="65">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66">+Z58</f>
        <v/>
      </c>
      <c r="AC58" s="119" t="str">
        <f t="shared" si="2"/>
        <v/>
      </c>
      <c r="AD58" s="117" t="str">
        <f>IFERROR(IF(AND(S57="Impacto",S58="Impacto"),(AD51-(+AD51*V58)),IF(S58="Impacto",($O$57-(+$O$57*V58)),IF(S58="Probabilidad",AD51,""))),"")</f>
        <v/>
      </c>
      <c r="AE58" s="120" t="str">
        <f t="shared" ref="AE58:AE59" si="67">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20"/>
      <c r="B59" s="139"/>
      <c r="C59" s="139"/>
      <c r="D59" s="221"/>
      <c r="E59" s="211"/>
      <c r="F59" s="141"/>
      <c r="G59" s="221"/>
      <c r="H59" s="140"/>
      <c r="I59" s="222"/>
      <c r="J59" s="218"/>
      <c r="K59" s="217"/>
      <c r="L59" s="216"/>
      <c r="M59" s="217">
        <f ca="1">IF(NOT(ISERROR(MATCH(L59,_xlfn.ANCHORARRAY(E71),0))),K73&amp;"Por favor no seleccionar los criterios de impacto",L59)</f>
        <v>0</v>
      </c>
      <c r="N59" s="218"/>
      <c r="O59" s="217"/>
      <c r="P59" s="219"/>
      <c r="Q59" s="113">
        <v>3</v>
      </c>
      <c r="R59" s="126"/>
      <c r="S59" s="115" t="str">
        <f>IF(OR(T59="Preventivo",T59="Detectivo"),"Probabilidad",IF(T59="Correctivo","Impacto",""))</f>
        <v/>
      </c>
      <c r="T59" s="116"/>
      <c r="U59" s="116"/>
      <c r="V59" s="117" t="str">
        <f t="shared" si="65"/>
        <v/>
      </c>
      <c r="W59" s="116"/>
      <c r="X59" s="116"/>
      <c r="Y59" s="116"/>
      <c r="Z59" s="118" t="str">
        <f>IFERROR(IF(AND(S58="Probabilidad",S59="Probabilidad"),(AB58-(+AB58*V59)),IF(AND(S58="Impacto",S59="Probabilidad"),(AB57-(+AB57*V59)),IF(S59="Impacto",AB58,""))),"")</f>
        <v/>
      </c>
      <c r="AA59" s="119" t="str">
        <f t="shared" si="0"/>
        <v/>
      </c>
      <c r="AB59" s="117" t="str">
        <f t="shared" si="66"/>
        <v/>
      </c>
      <c r="AC59" s="119" t="str">
        <f t="shared" si="2"/>
        <v/>
      </c>
      <c r="AD59" s="117" t="str">
        <f>IFERROR(IF(AND(S58="Impacto",S59="Impacto"),(AD58-(+AD58*V59)),IF(AND(S58="Probabilidad",S59="Impacto"),(AD57-(+AD57*V59)),IF(S59="Probabilidad",AD58,""))),"")</f>
        <v/>
      </c>
      <c r="AE59" s="120" t="str">
        <f t="shared" si="67"/>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20"/>
      <c r="B60" s="139"/>
      <c r="C60" s="139"/>
      <c r="D60" s="221"/>
      <c r="E60" s="211"/>
      <c r="F60" s="141"/>
      <c r="G60" s="221"/>
      <c r="H60" s="140"/>
      <c r="I60" s="222"/>
      <c r="J60" s="218"/>
      <c r="K60" s="217"/>
      <c r="L60" s="216"/>
      <c r="M60" s="217">
        <f ca="1">IF(NOT(ISERROR(MATCH(L60,_xlfn.ANCHORARRAY(E72),0))),K74&amp;"Por favor no seleccionar los criterios de impacto",L60)</f>
        <v>0</v>
      </c>
      <c r="N60" s="218"/>
      <c r="O60" s="217"/>
      <c r="P60" s="219"/>
      <c r="Q60" s="113">
        <v>4</v>
      </c>
      <c r="R60" s="114"/>
      <c r="S60" s="115" t="str">
        <f t="shared" ref="S60:S62" si="68">IF(OR(T60="Preventivo",T60="Detectivo"),"Probabilidad",IF(T60="Correctivo","Impacto",""))</f>
        <v/>
      </c>
      <c r="T60" s="116"/>
      <c r="U60" s="116"/>
      <c r="V60" s="117" t="str">
        <f t="shared" si="65"/>
        <v/>
      </c>
      <c r="W60" s="116"/>
      <c r="X60" s="116"/>
      <c r="Y60" s="116"/>
      <c r="Z60" s="118" t="str">
        <f t="shared" ref="Z60:Z62" si="69">IFERROR(IF(AND(S59="Probabilidad",S60="Probabilidad"),(AB59-(+AB59*V60)),IF(AND(S59="Impacto",S60="Probabilidad"),(AB58-(+AB58*V60)),IF(S60="Impacto",AB59,""))),"")</f>
        <v/>
      </c>
      <c r="AA60" s="119" t="str">
        <f t="shared" si="0"/>
        <v/>
      </c>
      <c r="AB60" s="117" t="str">
        <f t="shared" si="66"/>
        <v/>
      </c>
      <c r="AC60" s="119" t="str">
        <f t="shared" si="2"/>
        <v/>
      </c>
      <c r="AD60" s="117" t="str">
        <f t="shared" ref="AD60:AD62" si="70">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20"/>
      <c r="B61" s="139"/>
      <c r="C61" s="139"/>
      <c r="D61" s="221"/>
      <c r="E61" s="211"/>
      <c r="F61" s="141"/>
      <c r="G61" s="221"/>
      <c r="H61" s="140"/>
      <c r="I61" s="222"/>
      <c r="J61" s="218"/>
      <c r="K61" s="217"/>
      <c r="L61" s="216"/>
      <c r="M61" s="217">
        <f ca="1">IF(NOT(ISERROR(MATCH(L61,_xlfn.ANCHORARRAY(E73),0))),K75&amp;"Por favor no seleccionar los criterios de impacto",L61)</f>
        <v>0</v>
      </c>
      <c r="N61" s="218"/>
      <c r="O61" s="217"/>
      <c r="P61" s="219"/>
      <c r="Q61" s="113">
        <v>5</v>
      </c>
      <c r="R61" s="114"/>
      <c r="S61" s="115" t="str">
        <f t="shared" si="68"/>
        <v/>
      </c>
      <c r="T61" s="116"/>
      <c r="U61" s="116"/>
      <c r="V61" s="117" t="str">
        <f t="shared" si="65"/>
        <v/>
      </c>
      <c r="W61" s="116"/>
      <c r="X61" s="116"/>
      <c r="Y61" s="116"/>
      <c r="Z61" s="118" t="str">
        <f t="shared" si="69"/>
        <v/>
      </c>
      <c r="AA61" s="119" t="str">
        <f t="shared" si="0"/>
        <v/>
      </c>
      <c r="AB61" s="117" t="str">
        <f t="shared" si="66"/>
        <v/>
      </c>
      <c r="AC61" s="119" t="str">
        <f t="shared" si="2"/>
        <v/>
      </c>
      <c r="AD61" s="117" t="str">
        <f t="shared" si="70"/>
        <v/>
      </c>
      <c r="AE61" s="120" t="str">
        <f t="shared" ref="AE61:AE62" si="71">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20"/>
      <c r="B62" s="139"/>
      <c r="C62" s="139"/>
      <c r="D62" s="221"/>
      <c r="E62" s="211"/>
      <c r="F62" s="141"/>
      <c r="G62" s="221"/>
      <c r="H62" s="140"/>
      <c r="I62" s="222"/>
      <c r="J62" s="218"/>
      <c r="K62" s="217"/>
      <c r="L62" s="216"/>
      <c r="M62" s="217">
        <f ca="1">IF(NOT(ISERROR(MATCH(L62,_xlfn.ANCHORARRAY(E74),0))),K76&amp;"Por favor no seleccionar los criterios de impacto",L62)</f>
        <v>0</v>
      </c>
      <c r="N62" s="218"/>
      <c r="O62" s="217"/>
      <c r="P62" s="219"/>
      <c r="Q62" s="113">
        <v>6</v>
      </c>
      <c r="R62" s="114"/>
      <c r="S62" s="115" t="str">
        <f t="shared" si="68"/>
        <v/>
      </c>
      <c r="T62" s="116"/>
      <c r="U62" s="116"/>
      <c r="V62" s="117" t="str">
        <f t="shared" si="65"/>
        <v/>
      </c>
      <c r="W62" s="116"/>
      <c r="X62" s="116"/>
      <c r="Y62" s="116"/>
      <c r="Z62" s="118" t="str">
        <f t="shared" si="69"/>
        <v/>
      </c>
      <c r="AA62" s="119" t="str">
        <f t="shared" si="0"/>
        <v/>
      </c>
      <c r="AB62" s="117" t="str">
        <f t="shared" si="66"/>
        <v/>
      </c>
      <c r="AC62" s="119" t="str">
        <f t="shared" si="2"/>
        <v/>
      </c>
      <c r="AD62" s="117" t="str">
        <f t="shared" si="70"/>
        <v/>
      </c>
      <c r="AE62" s="120" t="str">
        <f t="shared" si="71"/>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20">
        <v>10</v>
      </c>
      <c r="B63" s="139"/>
      <c r="C63" s="139"/>
      <c r="D63" s="221"/>
      <c r="E63" s="211"/>
      <c r="F63" s="141"/>
      <c r="G63" s="221"/>
      <c r="H63" s="140"/>
      <c r="I63" s="222"/>
      <c r="J63" s="218" t="str">
        <f>IF(I63&lt;=0,"",IF(I63&lt;=2,"Muy Baja",IF(I63&lt;=24,"Baja",IF(I63&lt;=500,"Media",IF(I63&lt;=5000,"Alta","Muy Alta")))))</f>
        <v/>
      </c>
      <c r="K63" s="217" t="str">
        <f>IF(J63="","",IF(J63="Muy Baja",0.2,IF(J63="Baja",0.4,IF(J63="Media",0.6,IF(J63="Alta",0.8,IF(J63="Muy Alta",1,))))))</f>
        <v/>
      </c>
      <c r="L63" s="216"/>
      <c r="M63" s="217">
        <f>IF(NOT(ISERROR(MATCH(L63,'Tabla Impacto'!$B$221:$B$223,0))),'Tabla Impacto'!$F$223&amp;"Por favor no seleccionar los criterios de impacto(Afectación Económica o presupuestal y Pérdida Reputacional)",L63)</f>
        <v>0</v>
      </c>
      <c r="N63" s="218" t="str">
        <f>IF(OR(M63='Tabla Impacto'!$C$11,M63='Tabla Impacto'!$D$11),"Leve",IF(OR(M63='Tabla Impacto'!$C$12,M63='Tabla Impacto'!$D$12),"Menor",IF(OR(M63='Tabla Impacto'!$C$13,M63='Tabla Impacto'!$D$13),"Moderado",IF(OR(M63='Tabla Impacto'!$C$14,M63='Tabla Impacto'!$D$14),"Mayor",IF(OR(M63='Tabla Impacto'!$C$15,M63='Tabla Impacto'!$D$15),"Catastrófico","")))))</f>
        <v/>
      </c>
      <c r="O63" s="217" t="str">
        <f>IF(N63="","",IF(N63="Leve",0.2,IF(N63="Menor",0.4,IF(N63="Moderado",0.6,IF(N63="Mayor",0.8,IF(N63="Catastrófico",1,))))))</f>
        <v/>
      </c>
      <c r="P63" s="219" t="str">
        <f>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20"/>
      <c r="B64" s="139"/>
      <c r="C64" s="139"/>
      <c r="D64" s="221"/>
      <c r="E64" s="211"/>
      <c r="F64" s="141"/>
      <c r="G64" s="221"/>
      <c r="H64" s="140"/>
      <c r="I64" s="222"/>
      <c r="J64" s="218"/>
      <c r="K64" s="217"/>
      <c r="L64" s="216"/>
      <c r="M64" s="217">
        <f ca="1">IF(NOT(ISERROR(MATCH(L64,_xlfn.ANCHORARRAY(E76),0))),K78&amp;"Por favor no seleccionar los criterios de impacto",L64)</f>
        <v>0</v>
      </c>
      <c r="N64" s="218"/>
      <c r="O64" s="217"/>
      <c r="P64" s="219"/>
      <c r="Q64" s="113">
        <v>2</v>
      </c>
      <c r="R64" s="114"/>
      <c r="S64" s="115" t="str">
        <f>IF(OR(T64="Preventivo",T64="Detectivo"),"Probabilidad",IF(T64="Correctivo","Impacto",""))</f>
        <v/>
      </c>
      <c r="T64" s="116"/>
      <c r="U64" s="116"/>
      <c r="V64" s="117" t="str">
        <f t="shared" ref="V64:V68" si="72">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73">+Z64</f>
        <v/>
      </c>
      <c r="AC64" s="119" t="str">
        <f t="shared" si="2"/>
        <v/>
      </c>
      <c r="AD64" s="117" t="str">
        <f>IFERROR(IF(AND(S63="Impacto",S64="Impacto"),(AD57-(+AD57*V64)),IF(S64="Impacto",($O$63-(+$O$63*V64)),IF(S64="Probabilidad",AD57,""))),"")</f>
        <v/>
      </c>
      <c r="AE64" s="120" t="str">
        <f t="shared" ref="AE64:AE65" si="74">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row>
    <row r="65" spans="1:38" x14ac:dyDescent="0.3">
      <c r="A65" s="220"/>
      <c r="B65" s="139"/>
      <c r="C65" s="139"/>
      <c r="D65" s="221"/>
      <c r="E65" s="211"/>
      <c r="F65" s="141"/>
      <c r="G65" s="221"/>
      <c r="H65" s="140"/>
      <c r="I65" s="222"/>
      <c r="J65" s="218"/>
      <c r="K65" s="217"/>
      <c r="L65" s="216"/>
      <c r="M65" s="217">
        <f ca="1">IF(NOT(ISERROR(MATCH(L65,_xlfn.ANCHORARRAY(E77),0))),K79&amp;"Por favor no seleccionar los criterios de impacto",L65)</f>
        <v>0</v>
      </c>
      <c r="N65" s="218"/>
      <c r="O65" s="217"/>
      <c r="P65" s="219"/>
      <c r="Q65" s="113">
        <v>3</v>
      </c>
      <c r="R65" s="126"/>
      <c r="S65" s="115" t="str">
        <f>IF(OR(T65="Preventivo",T65="Detectivo"),"Probabilidad",IF(T65="Correctivo","Impacto",""))</f>
        <v/>
      </c>
      <c r="T65" s="116"/>
      <c r="U65" s="116"/>
      <c r="V65" s="117" t="str">
        <f t="shared" si="72"/>
        <v/>
      </c>
      <c r="W65" s="116"/>
      <c r="X65" s="116"/>
      <c r="Y65" s="116"/>
      <c r="Z65" s="118" t="str">
        <f>IFERROR(IF(AND(S64="Probabilidad",S65="Probabilidad"),(AB64-(+AB64*V65)),IF(AND(S64="Impacto",S65="Probabilidad"),(AB63-(+AB63*V65)),IF(S65="Impacto",AB64,""))),"")</f>
        <v/>
      </c>
      <c r="AA65" s="119" t="str">
        <f t="shared" si="0"/>
        <v/>
      </c>
      <c r="AB65" s="117" t="str">
        <f t="shared" si="73"/>
        <v/>
      </c>
      <c r="AC65" s="119" t="str">
        <f t="shared" si="2"/>
        <v/>
      </c>
      <c r="AD65" s="117" t="str">
        <f>IFERROR(IF(AND(S64="Impacto",S65="Impacto"),(AD64-(+AD64*V65)),IF(AND(S64="Probabilidad",S65="Impacto"),(AD63-(+AD63*V65)),IF(S65="Probabilidad",AD64,""))),"")</f>
        <v/>
      </c>
      <c r="AE65" s="120" t="str">
        <f t="shared" si="74"/>
        <v/>
      </c>
      <c r="AF65" s="116"/>
      <c r="AG65" s="121"/>
      <c r="AH65" s="122"/>
      <c r="AI65" s="123"/>
      <c r="AJ65" s="123"/>
      <c r="AK65" s="121"/>
      <c r="AL65" s="122"/>
    </row>
    <row r="66" spans="1:38" x14ac:dyDescent="0.3">
      <c r="A66" s="220"/>
      <c r="B66" s="139"/>
      <c r="C66" s="139"/>
      <c r="D66" s="221"/>
      <c r="E66" s="211"/>
      <c r="F66" s="141"/>
      <c r="G66" s="221"/>
      <c r="H66" s="140"/>
      <c r="I66" s="222"/>
      <c r="J66" s="218"/>
      <c r="K66" s="217"/>
      <c r="L66" s="216"/>
      <c r="M66" s="217">
        <f ca="1">IF(NOT(ISERROR(MATCH(L66,_xlfn.ANCHORARRAY(E78),0))),K80&amp;"Por favor no seleccionar los criterios de impacto",L66)</f>
        <v>0</v>
      </c>
      <c r="N66" s="218"/>
      <c r="O66" s="217"/>
      <c r="P66" s="219"/>
      <c r="Q66" s="113">
        <v>4</v>
      </c>
      <c r="R66" s="114"/>
      <c r="S66" s="115" t="str">
        <f t="shared" ref="S66:S68" si="75">IF(OR(T66="Preventivo",T66="Detectivo"),"Probabilidad",IF(T66="Correctivo","Impacto",""))</f>
        <v/>
      </c>
      <c r="T66" s="116"/>
      <c r="U66" s="116"/>
      <c r="V66" s="117" t="str">
        <f t="shared" si="72"/>
        <v/>
      </c>
      <c r="W66" s="116"/>
      <c r="X66" s="116"/>
      <c r="Y66" s="116"/>
      <c r="Z66" s="118" t="str">
        <f t="shared" ref="Z66:Z68" si="76">IFERROR(IF(AND(S65="Probabilidad",S66="Probabilidad"),(AB65-(+AB65*V66)),IF(AND(S65="Impacto",S66="Probabilidad"),(AB64-(+AB64*V66)),IF(S66="Impacto",AB65,""))),"")</f>
        <v/>
      </c>
      <c r="AA66" s="119" t="str">
        <f t="shared" si="0"/>
        <v/>
      </c>
      <c r="AB66" s="117" t="str">
        <f t="shared" si="73"/>
        <v/>
      </c>
      <c r="AC66" s="119" t="str">
        <f t="shared" si="2"/>
        <v/>
      </c>
      <c r="AD66" s="117" t="str">
        <f t="shared" ref="AD66:AD68" si="77">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row>
    <row r="67" spans="1:38" x14ac:dyDescent="0.3">
      <c r="A67" s="220"/>
      <c r="B67" s="139"/>
      <c r="C67" s="139"/>
      <c r="D67" s="221"/>
      <c r="E67" s="211"/>
      <c r="F67" s="141"/>
      <c r="G67" s="221"/>
      <c r="H67" s="140"/>
      <c r="I67" s="222"/>
      <c r="J67" s="218"/>
      <c r="K67" s="217"/>
      <c r="L67" s="216"/>
      <c r="M67" s="217">
        <f ca="1">IF(NOT(ISERROR(MATCH(L67,_xlfn.ANCHORARRAY(E79),0))),K81&amp;"Por favor no seleccionar los criterios de impacto",L67)</f>
        <v>0</v>
      </c>
      <c r="N67" s="218"/>
      <c r="O67" s="217"/>
      <c r="P67" s="219"/>
      <c r="Q67" s="113">
        <v>5</v>
      </c>
      <c r="R67" s="114"/>
      <c r="S67" s="115" t="str">
        <f t="shared" si="75"/>
        <v/>
      </c>
      <c r="T67" s="116"/>
      <c r="U67" s="116"/>
      <c r="V67" s="117" t="str">
        <f t="shared" si="72"/>
        <v/>
      </c>
      <c r="W67" s="116"/>
      <c r="X67" s="116"/>
      <c r="Y67" s="116"/>
      <c r="Z67" s="118" t="str">
        <f t="shared" si="76"/>
        <v/>
      </c>
      <c r="AA67" s="119" t="str">
        <f t="shared" si="0"/>
        <v/>
      </c>
      <c r="AB67" s="117" t="str">
        <f t="shared" si="73"/>
        <v/>
      </c>
      <c r="AC67" s="119" t="str">
        <f t="shared" si="2"/>
        <v/>
      </c>
      <c r="AD67" s="117" t="str">
        <f t="shared" si="77"/>
        <v/>
      </c>
      <c r="AE67" s="120" t="str">
        <f t="shared" ref="AE67:AE68" si="78">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row>
    <row r="68" spans="1:38" x14ac:dyDescent="0.3">
      <c r="A68" s="220"/>
      <c r="B68" s="139"/>
      <c r="C68" s="139"/>
      <c r="D68" s="221"/>
      <c r="E68" s="211"/>
      <c r="F68" s="141"/>
      <c r="G68" s="221"/>
      <c r="H68" s="140"/>
      <c r="I68" s="222"/>
      <c r="J68" s="218"/>
      <c r="K68" s="217"/>
      <c r="L68" s="216"/>
      <c r="M68" s="217">
        <f ca="1">IF(NOT(ISERROR(MATCH(L68,_xlfn.ANCHORARRAY(E80),0))),K82&amp;"Por favor no seleccionar los criterios de impacto",L68)</f>
        <v>0</v>
      </c>
      <c r="N68" s="218"/>
      <c r="O68" s="217"/>
      <c r="P68" s="219"/>
      <c r="Q68" s="113">
        <v>6</v>
      </c>
      <c r="R68" s="114"/>
      <c r="S68" s="115" t="str">
        <f t="shared" si="75"/>
        <v/>
      </c>
      <c r="T68" s="116"/>
      <c r="U68" s="116"/>
      <c r="V68" s="117" t="str">
        <f t="shared" si="72"/>
        <v/>
      </c>
      <c r="W68" s="116"/>
      <c r="X68" s="116"/>
      <c r="Y68" s="116"/>
      <c r="Z68" s="118" t="str">
        <f t="shared" si="76"/>
        <v/>
      </c>
      <c r="AA68" s="119" t="str">
        <f t="shared" si="0"/>
        <v/>
      </c>
      <c r="AB68" s="117" t="str">
        <f t="shared" si="73"/>
        <v/>
      </c>
      <c r="AC68" s="119" t="str">
        <f t="shared" si="2"/>
        <v/>
      </c>
      <c r="AD68" s="117" t="str">
        <f t="shared" si="77"/>
        <v/>
      </c>
      <c r="AE68" s="120" t="str">
        <f t="shared" si="78"/>
        <v/>
      </c>
      <c r="AF68" s="116"/>
      <c r="AG68" s="121"/>
      <c r="AH68" s="122"/>
      <c r="AI68" s="123"/>
      <c r="AJ68" s="123"/>
      <c r="AK68" s="121"/>
      <c r="AL68" s="122"/>
    </row>
    <row r="69" spans="1:38" x14ac:dyDescent="0.3">
      <c r="A69" s="220">
        <v>1</v>
      </c>
      <c r="B69" s="139"/>
      <c r="C69" s="139"/>
      <c r="D69" s="221"/>
      <c r="E69" s="211"/>
      <c r="F69" s="141"/>
      <c r="G69" s="221"/>
      <c r="H69" s="140"/>
      <c r="I69" s="222"/>
      <c r="J69" s="218" t="str">
        <f>IF(I69&lt;=0,"",IF(I69&lt;=2,"Muy Baja",IF(I69&lt;=24,"Baja",IF(I69&lt;=500,"Media",IF(I69&lt;=5000,"Alta","Muy Alta")))))</f>
        <v/>
      </c>
      <c r="K69" s="217" t="str">
        <f>IF(J69="","",IF(J69="Muy Baja",0.2,IF(J69="Baja",0.4,IF(J69="Media",0.6,IF(J69="Alta",0.8,IF(J69="Muy Alta",1,))))))</f>
        <v/>
      </c>
      <c r="L69" s="216"/>
      <c r="M69" s="217">
        <f>IF(NOT(ISERROR(MATCH(L69,'Tabla Impacto'!$B$221:$B$223,0))),'Tabla Impacto'!$F$223&amp;"Por favor no seleccionar los criterios de impacto(Afectación Económica o presupuestal y Pérdida Reputacional)",L69)</f>
        <v>0</v>
      </c>
      <c r="N69" s="218" t="str">
        <f>IF(OR(M69='Tabla Impacto'!$C$11,M69='Tabla Impacto'!$D$11),"Leve",IF(OR(M69='Tabla Impacto'!$C$12,M69='Tabla Impacto'!$D$12),"Menor",IF(OR(M69='Tabla Impacto'!$C$13,M69='Tabla Impacto'!$D$13),"Moderado",IF(OR(M69='Tabla Impacto'!$C$14,M69='Tabla Impacto'!$D$14),"Mayor",IF(OR(M69='Tabla Impacto'!$C$15,M69='Tabla Impacto'!$D$15),"Catastrófico","")))))</f>
        <v/>
      </c>
      <c r="O69" s="217" t="str">
        <f>IF(N69="","",IF(N69="Leve",0.2,IF(N69="Menor",0.4,IF(N69="Moderado",0.6,IF(N69="Mayor",0.8,IF(N69="Catastrófico",1,))))))</f>
        <v/>
      </c>
      <c r="P69" s="219" t="str">
        <f>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row>
    <row r="70" spans="1:38" ht="49.5" customHeight="1" x14ac:dyDescent="0.3">
      <c r="A70" s="220"/>
      <c r="B70" s="139"/>
      <c r="C70" s="139"/>
      <c r="D70" s="221"/>
      <c r="E70" s="211"/>
      <c r="F70" s="141"/>
      <c r="G70" s="221"/>
      <c r="H70" s="140"/>
      <c r="I70" s="222"/>
      <c r="J70" s="218"/>
      <c r="K70" s="217"/>
      <c r="L70" s="216"/>
      <c r="M70" s="217">
        <f ca="1">IF(NOT(ISERROR(MATCH(L70,_xlfn.ANCHORARRAY(E81),0))),K83&amp;"Por favor no seleccionar los criterios de impacto",L70)</f>
        <v>0</v>
      </c>
      <c r="N70" s="218"/>
      <c r="O70" s="217"/>
      <c r="P70" s="219"/>
      <c r="Q70" s="113">
        <v>2</v>
      </c>
      <c r="R70" s="114"/>
      <c r="S70" s="115" t="str">
        <f>IF(OR(T70="Preventivo",T70="Detectivo"),"Probabilidad",IF(T70="Correctivo","Impacto",""))</f>
        <v/>
      </c>
      <c r="T70" s="116"/>
      <c r="U70" s="116"/>
      <c r="V70" s="117" t="str">
        <f t="shared" ref="V70:V74" si="79">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ref="AA70:AA74" si="80">IFERROR(IF(Z70="","",IF(Z70&lt;=0.2,"Muy Baja",IF(Z70&lt;=0.4,"Baja",IF(Z70&lt;=0.6,"Media",IF(Z70&lt;=0.8,"Alta","Muy Alta"))))),"")</f>
        <v/>
      </c>
      <c r="AB70" s="117" t="str">
        <f t="shared" ref="AB70:AB74" si="81">+Z70</f>
        <v/>
      </c>
      <c r="AC70" s="119" t="str">
        <f t="shared" ref="AC70:AC74" si="82">IFERROR(IF(AD70="","",IF(AD70&lt;=0.2,"Leve",IF(AD70&lt;=0.4,"Menor",IF(AD70&lt;=0.6,"Moderado",IF(AD70&lt;=0.8,"Mayor","Catastrófico"))))),"")</f>
        <v/>
      </c>
      <c r="AD70" s="117" t="str">
        <f>IFERROR(IF(AND(S69="Impacto",S70="Impacto"),(AD69-(+AD69*V70)),IF(S70="Impacto",($O$9-(+$O$9*V70)),IF(S70="Probabilidad",AD69,""))),"")</f>
        <v/>
      </c>
      <c r="AE70" s="120" t="str">
        <f t="shared" ref="AE70:AE71" si="83">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38" x14ac:dyDescent="0.3">
      <c r="A71" s="220"/>
      <c r="B71" s="139"/>
      <c r="C71" s="139"/>
      <c r="D71" s="221"/>
      <c r="E71" s="211"/>
      <c r="F71" s="141"/>
      <c r="G71" s="221"/>
      <c r="H71" s="140"/>
      <c r="I71" s="222"/>
      <c r="J71" s="218"/>
      <c r="K71" s="217"/>
      <c r="L71" s="216"/>
      <c r="M71" s="217">
        <f ca="1">IF(NOT(ISERROR(MATCH(L71,_xlfn.ANCHORARRAY(E82),0))),K84&amp;"Por favor no seleccionar los criterios de impacto",L71)</f>
        <v>0</v>
      </c>
      <c r="N71" s="218"/>
      <c r="O71" s="217"/>
      <c r="P71" s="219"/>
      <c r="Q71" s="113">
        <v>3</v>
      </c>
      <c r="R71" s="126"/>
      <c r="S71" s="115" t="str">
        <f>IF(OR(T71="Preventivo",T71="Detectivo"),"Probabilidad",IF(T71="Correctivo","Impacto",""))</f>
        <v/>
      </c>
      <c r="T71" s="116"/>
      <c r="U71" s="116"/>
      <c r="V71" s="117" t="str">
        <f t="shared" si="79"/>
        <v/>
      </c>
      <c r="W71" s="116"/>
      <c r="X71" s="116"/>
      <c r="Y71" s="116"/>
      <c r="Z71" s="118" t="str">
        <f>IFERROR(IF(AND(S70="Probabilidad",S71="Probabilidad"),(AB70-(+AB70*V71)),IF(AND(S70="Impacto",S71="Probabilidad"),(AB69-(+AB69*V71)),IF(S71="Impacto",AB70,""))),"")</f>
        <v/>
      </c>
      <c r="AA71" s="119" t="str">
        <f t="shared" si="80"/>
        <v/>
      </c>
      <c r="AB71" s="117" t="str">
        <f t="shared" si="81"/>
        <v/>
      </c>
      <c r="AC71" s="119" t="str">
        <f t="shared" si="82"/>
        <v/>
      </c>
      <c r="AD71" s="117" t="str">
        <f>IFERROR(IF(AND(S70="Impacto",S71="Impacto"),(AD70-(+AD70*V71)),IF(AND(S70="Probabilidad",S71="Impacto"),(AD69-(+AD69*V71)),IF(S71="Probabilidad",AD70,""))),"")</f>
        <v/>
      </c>
      <c r="AE71" s="120" t="str">
        <f t="shared" si="83"/>
        <v/>
      </c>
      <c r="AF71" s="116"/>
      <c r="AG71" s="121"/>
      <c r="AH71" s="122"/>
      <c r="AI71" s="123"/>
      <c r="AJ71" s="123"/>
      <c r="AK71" s="121"/>
      <c r="AL71" s="122"/>
    </row>
    <row r="72" spans="1:38" x14ac:dyDescent="0.3">
      <c r="A72" s="220"/>
      <c r="B72" s="139"/>
      <c r="C72" s="139"/>
      <c r="D72" s="221"/>
      <c r="E72" s="211"/>
      <c r="F72" s="141"/>
      <c r="G72" s="221"/>
      <c r="H72" s="140"/>
      <c r="I72" s="222"/>
      <c r="J72" s="218"/>
      <c r="K72" s="217"/>
      <c r="L72" s="216"/>
      <c r="M72" s="217">
        <f ca="1">IF(NOT(ISERROR(MATCH(L72,_xlfn.ANCHORARRAY(E83),0))),K85&amp;"Por favor no seleccionar los criterios de impacto",L72)</f>
        <v>0</v>
      </c>
      <c r="N72" s="218"/>
      <c r="O72" s="217"/>
      <c r="P72" s="219"/>
      <c r="Q72" s="113">
        <v>4</v>
      </c>
      <c r="R72" s="114"/>
      <c r="S72" s="115" t="str">
        <f t="shared" ref="S72:S74" si="84">IF(OR(T72="Preventivo",T72="Detectivo"),"Probabilidad",IF(T72="Correctivo","Impacto",""))</f>
        <v/>
      </c>
      <c r="T72" s="116"/>
      <c r="U72" s="116"/>
      <c r="V72" s="117" t="str">
        <f t="shared" si="79"/>
        <v/>
      </c>
      <c r="W72" s="116"/>
      <c r="X72" s="116"/>
      <c r="Y72" s="116"/>
      <c r="Z72" s="118" t="str">
        <f t="shared" ref="Z72:Z74" si="85">IFERROR(IF(AND(S71="Probabilidad",S72="Probabilidad"),(AB71-(+AB71*V72)),IF(AND(S71="Impacto",S72="Probabilidad"),(AB70-(+AB70*V72)),IF(S72="Impacto",AB71,""))),"")</f>
        <v/>
      </c>
      <c r="AA72" s="119" t="str">
        <f t="shared" si="80"/>
        <v/>
      </c>
      <c r="AB72" s="117" t="str">
        <f t="shared" si="81"/>
        <v/>
      </c>
      <c r="AC72" s="119" t="str">
        <f t="shared" si="82"/>
        <v/>
      </c>
      <c r="AD72" s="117" t="str">
        <f t="shared" ref="AD72:AD74" si="86">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38" x14ac:dyDescent="0.3">
      <c r="A73" s="220"/>
      <c r="B73" s="139"/>
      <c r="C73" s="139"/>
      <c r="D73" s="221"/>
      <c r="E73" s="211"/>
      <c r="F73" s="141"/>
      <c r="G73" s="221"/>
      <c r="H73" s="140"/>
      <c r="I73" s="222"/>
      <c r="J73" s="218"/>
      <c r="K73" s="217"/>
      <c r="L73" s="216"/>
      <c r="M73" s="217">
        <f ca="1">IF(NOT(ISERROR(MATCH(L73,_xlfn.ANCHORARRAY(E84),0))),K86&amp;"Por favor no seleccionar los criterios de impacto",L73)</f>
        <v>0</v>
      </c>
      <c r="N73" s="218"/>
      <c r="O73" s="217"/>
      <c r="P73" s="219"/>
      <c r="Q73" s="113">
        <v>5</v>
      </c>
      <c r="R73" s="114"/>
      <c r="S73" s="115" t="str">
        <f t="shared" si="84"/>
        <v/>
      </c>
      <c r="T73" s="116"/>
      <c r="U73" s="116"/>
      <c r="V73" s="117" t="str">
        <f t="shared" si="79"/>
        <v/>
      </c>
      <c r="W73" s="116"/>
      <c r="X73" s="116"/>
      <c r="Y73" s="116"/>
      <c r="Z73" s="118" t="str">
        <f t="shared" si="85"/>
        <v/>
      </c>
      <c r="AA73" s="119" t="str">
        <f t="shared" si="80"/>
        <v/>
      </c>
      <c r="AB73" s="117" t="str">
        <f t="shared" si="81"/>
        <v/>
      </c>
      <c r="AC73" s="119" t="str">
        <f t="shared" si="82"/>
        <v/>
      </c>
      <c r="AD73" s="117" t="str">
        <f t="shared" si="86"/>
        <v/>
      </c>
      <c r="AE73" s="120" t="str">
        <f t="shared" ref="AE73:AE74" si="87">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38" x14ac:dyDescent="0.3">
      <c r="A74" s="220"/>
      <c r="B74" s="139"/>
      <c r="C74" s="139"/>
      <c r="D74" s="221"/>
      <c r="E74" s="211"/>
      <c r="F74" s="141"/>
      <c r="G74" s="221"/>
      <c r="H74" s="140"/>
      <c r="I74" s="222"/>
      <c r="J74" s="218"/>
      <c r="K74" s="217"/>
      <c r="L74" s="216"/>
      <c r="M74" s="217">
        <f ca="1">IF(NOT(ISERROR(MATCH(L74,_xlfn.ANCHORARRAY(E85),0))),K87&amp;"Por favor no seleccionar los criterios de impacto",L74)</f>
        <v>0</v>
      </c>
      <c r="N74" s="218"/>
      <c r="O74" s="217"/>
      <c r="P74" s="219"/>
      <c r="Q74" s="113">
        <v>6</v>
      </c>
      <c r="R74" s="114"/>
      <c r="S74" s="115" t="str">
        <f t="shared" si="84"/>
        <v/>
      </c>
      <c r="T74" s="116"/>
      <c r="U74" s="116"/>
      <c r="V74" s="117" t="str">
        <f t="shared" si="79"/>
        <v/>
      </c>
      <c r="W74" s="116"/>
      <c r="X74" s="116"/>
      <c r="Y74" s="116"/>
      <c r="Z74" s="118" t="str">
        <f t="shared" si="85"/>
        <v/>
      </c>
      <c r="AA74" s="119" t="str">
        <f t="shared" si="80"/>
        <v/>
      </c>
      <c r="AB74" s="117" t="str">
        <f t="shared" si="81"/>
        <v/>
      </c>
      <c r="AC74" s="119" t="str">
        <f t="shared" si="82"/>
        <v/>
      </c>
      <c r="AD74" s="117" t="str">
        <f t="shared" si="86"/>
        <v/>
      </c>
      <c r="AE74" s="120" t="str">
        <f t="shared" si="87"/>
        <v/>
      </c>
      <c r="AF74" s="116"/>
      <c r="AG74" s="121"/>
      <c r="AH74" s="122"/>
      <c r="AI74" s="123"/>
      <c r="AJ74" s="123"/>
      <c r="AK74" s="121"/>
      <c r="AL74" s="122"/>
    </row>
    <row r="75" spans="1:38" x14ac:dyDescent="0.3">
      <c r="A75" s="220">
        <v>2</v>
      </c>
      <c r="B75" s="139"/>
      <c r="C75" s="139"/>
      <c r="D75" s="221"/>
      <c r="E75" s="211"/>
      <c r="F75" s="141"/>
      <c r="G75" s="221"/>
      <c r="H75" s="140"/>
      <c r="I75" s="222"/>
      <c r="J75" s="218" t="str">
        <f>IF(I75&lt;=0,"",IF(I75&lt;=2,"Muy Baja",IF(I75&lt;=24,"Baja",IF(I75&lt;=500,"Media",IF(I75&lt;=5000,"Alta","Muy Alta")))))</f>
        <v/>
      </c>
      <c r="K75" s="217" t="str">
        <f>IF(J75="","",IF(J75="Muy Baja",0.2,IF(J75="Baja",0.4,IF(J75="Media",0.6,IF(J75="Alta",0.8,IF(J75="Muy Alta",1,))))))</f>
        <v/>
      </c>
      <c r="L75" s="216"/>
      <c r="M75" s="217">
        <f>IF(NOT(ISERROR(MATCH(L75,'Tabla Impacto'!$B$221:$B$223,0))),'Tabla Impacto'!$F$223&amp;"Por favor no seleccionar los criterios de impacto(Afectación Económica o presupuestal y Pérdida Reputacional)",L75)</f>
        <v>0</v>
      </c>
      <c r="N75" s="218" t="str">
        <f>IF(OR(M75='Tabla Impacto'!$C$11,M75='Tabla Impacto'!$D$11),"Leve",IF(OR(M75='Tabla Impacto'!$C$12,M75='Tabla Impacto'!$D$12),"Menor",IF(OR(M75='Tabla Impacto'!$C$13,M75='Tabla Impacto'!$D$13),"Moderado",IF(OR(M75='Tabla Impacto'!$C$14,M75='Tabla Impacto'!$D$14),"Mayor",IF(OR(M75='Tabla Impacto'!$C$15,M75='Tabla Impacto'!$D$15),"Catastrófico","")))))</f>
        <v/>
      </c>
      <c r="O75" s="217" t="str">
        <f>IF(N75="","",IF(N75="Leve",0.2,IF(N75="Menor",0.4,IF(N75="Moderado",0.6,IF(N75="Mayor",0.8,IF(N75="Catastrófico",1,))))))</f>
        <v/>
      </c>
      <c r="P75" s="219" t="str">
        <f>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38" x14ac:dyDescent="0.3">
      <c r="A76" s="220"/>
      <c r="B76" s="139"/>
      <c r="C76" s="139"/>
      <c r="D76" s="221"/>
      <c r="E76" s="211"/>
      <c r="F76" s="141"/>
      <c r="G76" s="221"/>
      <c r="H76" s="140"/>
      <c r="I76" s="222"/>
      <c r="J76" s="218"/>
      <c r="K76" s="217"/>
      <c r="L76" s="216"/>
      <c r="M76" s="217">
        <f ca="1">IF(NOT(ISERROR(MATCH(L76,_xlfn.ANCHORARRAY(E87),0))),K89&amp;"Por favor no seleccionar los criterios de impacto",L76)</f>
        <v>0</v>
      </c>
      <c r="N76" s="218"/>
      <c r="O76" s="217"/>
      <c r="P76" s="219"/>
      <c r="Q76" s="113">
        <v>2</v>
      </c>
      <c r="R76" s="114"/>
      <c r="S76" s="115" t="str">
        <f>IF(OR(T76="Preventivo",T76="Detectivo"),"Probabilidad",IF(T76="Correctivo","Impacto",""))</f>
        <v/>
      </c>
      <c r="T76" s="116"/>
      <c r="U76" s="116"/>
      <c r="V76" s="117" t="str">
        <f t="shared" ref="V76:V80" si="88">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89">IFERROR(IF(Z76="","",IF(Z76&lt;=0.2,"Muy Baja",IF(Z76&lt;=0.4,"Baja",IF(Z76&lt;=0.6,"Media",IF(Z76&lt;=0.8,"Alta","Muy Alta"))))),"")</f>
        <v/>
      </c>
      <c r="AB76" s="117" t="str">
        <f t="shared" ref="AB76:AB80" si="90">+Z76</f>
        <v/>
      </c>
      <c r="AC76" s="119" t="str">
        <f t="shared" ref="AC76:AC80" si="91">IFERROR(IF(AD76="","",IF(AD76&lt;=0.2,"Leve",IF(AD76&lt;=0.4,"Menor",IF(AD76&lt;=0.6,"Moderado",IF(AD76&lt;=0.8,"Mayor","Catastrófico"))))),"")</f>
        <v/>
      </c>
      <c r="AD76" s="117" t="str">
        <f>IFERROR(IF(AND(S75="Impacto",S76="Impacto"),(AD69-(+AD69*V76)),IF(S76="Impacto",($O$15-(+$O$15*V76)),IF(S76="Probabilidad",AD69,""))),"")</f>
        <v/>
      </c>
      <c r="AE76" s="120" t="str">
        <f t="shared" ref="AE76:AE77" si="92">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38" x14ac:dyDescent="0.3">
      <c r="A77" s="220"/>
      <c r="B77" s="139"/>
      <c r="C77" s="139"/>
      <c r="D77" s="221"/>
      <c r="E77" s="211"/>
      <c r="F77" s="141"/>
      <c r="G77" s="221"/>
      <c r="H77" s="140"/>
      <c r="I77" s="222"/>
      <c r="J77" s="218"/>
      <c r="K77" s="217"/>
      <c r="L77" s="216"/>
      <c r="M77" s="217">
        <f ca="1">IF(NOT(ISERROR(MATCH(L77,_xlfn.ANCHORARRAY(E88),0))),K90&amp;"Por favor no seleccionar los criterios de impacto",L77)</f>
        <v>0</v>
      </c>
      <c r="N77" s="218"/>
      <c r="O77" s="217"/>
      <c r="P77" s="219"/>
      <c r="Q77" s="113">
        <v>3</v>
      </c>
      <c r="R77" s="126"/>
      <c r="S77" s="115" t="str">
        <f>IF(OR(T77="Preventivo",T77="Detectivo"),"Probabilidad",IF(T77="Correctivo","Impacto",""))</f>
        <v/>
      </c>
      <c r="T77" s="116"/>
      <c r="U77" s="116"/>
      <c r="V77" s="117" t="str">
        <f t="shared" si="88"/>
        <v/>
      </c>
      <c r="W77" s="116"/>
      <c r="X77" s="116"/>
      <c r="Y77" s="116"/>
      <c r="Z77" s="118" t="str">
        <f>IFERROR(IF(AND(S76="Probabilidad",S77="Probabilidad"),(AB76-(+AB76*V77)),IF(AND(S76="Impacto",S77="Probabilidad"),(AB75-(+AB75*V77)),IF(S77="Impacto",AB76,""))),"")</f>
        <v/>
      </c>
      <c r="AA77" s="119" t="str">
        <f t="shared" si="89"/>
        <v/>
      </c>
      <c r="AB77" s="117" t="str">
        <f t="shared" si="90"/>
        <v/>
      </c>
      <c r="AC77" s="119" t="str">
        <f t="shared" si="91"/>
        <v/>
      </c>
      <c r="AD77" s="117" t="str">
        <f>IFERROR(IF(AND(S76="Impacto",S77="Impacto"),(AD76-(+AD76*V77)),IF(AND(S76="Probabilidad",S77="Impacto"),(AD75-(+AD75*V77)),IF(S77="Probabilidad",AD76,""))),"")</f>
        <v/>
      </c>
      <c r="AE77" s="120" t="str">
        <f t="shared" si="92"/>
        <v/>
      </c>
      <c r="AF77" s="116"/>
      <c r="AG77" s="121"/>
      <c r="AH77" s="122"/>
      <c r="AI77" s="123"/>
      <c r="AJ77" s="123"/>
      <c r="AK77" s="121"/>
      <c r="AL77" s="122"/>
    </row>
    <row r="78" spans="1:38" x14ac:dyDescent="0.3">
      <c r="A78" s="220"/>
      <c r="B78" s="139"/>
      <c r="C78" s="139"/>
      <c r="D78" s="221"/>
      <c r="E78" s="211"/>
      <c r="F78" s="141"/>
      <c r="G78" s="221"/>
      <c r="H78" s="140"/>
      <c r="I78" s="222"/>
      <c r="J78" s="218"/>
      <c r="K78" s="217"/>
      <c r="L78" s="216"/>
      <c r="M78" s="217">
        <f ca="1">IF(NOT(ISERROR(MATCH(L78,_xlfn.ANCHORARRAY(E89),0))),K91&amp;"Por favor no seleccionar los criterios de impacto",L78)</f>
        <v>0</v>
      </c>
      <c r="N78" s="218"/>
      <c r="O78" s="217"/>
      <c r="P78" s="219"/>
      <c r="Q78" s="113">
        <v>4</v>
      </c>
      <c r="R78" s="114"/>
      <c r="S78" s="115" t="str">
        <f t="shared" ref="S78:S80" si="93">IF(OR(T78="Preventivo",T78="Detectivo"),"Probabilidad",IF(T78="Correctivo","Impacto",""))</f>
        <v/>
      </c>
      <c r="T78" s="116"/>
      <c r="U78" s="116"/>
      <c r="V78" s="117" t="str">
        <f t="shared" si="88"/>
        <v/>
      </c>
      <c r="W78" s="116"/>
      <c r="X78" s="116"/>
      <c r="Y78" s="116"/>
      <c r="Z78" s="118" t="str">
        <f t="shared" ref="Z78:Z80" si="94">IFERROR(IF(AND(S77="Probabilidad",S78="Probabilidad"),(AB77-(+AB77*V78)),IF(AND(S77="Impacto",S78="Probabilidad"),(AB76-(+AB76*V78)),IF(S78="Impacto",AB77,""))),"")</f>
        <v/>
      </c>
      <c r="AA78" s="119" t="str">
        <f t="shared" si="89"/>
        <v/>
      </c>
      <c r="AB78" s="117" t="str">
        <f t="shared" si="90"/>
        <v/>
      </c>
      <c r="AC78" s="119" t="str">
        <f t="shared" si="91"/>
        <v/>
      </c>
      <c r="AD78" s="117" t="str">
        <f t="shared" ref="AD78:AD80" si="95">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38" x14ac:dyDescent="0.3">
      <c r="A79" s="220"/>
      <c r="B79" s="139"/>
      <c r="C79" s="139"/>
      <c r="D79" s="221"/>
      <c r="E79" s="211"/>
      <c r="F79" s="141"/>
      <c r="G79" s="221"/>
      <c r="H79" s="140"/>
      <c r="I79" s="222"/>
      <c r="J79" s="218"/>
      <c r="K79" s="217"/>
      <c r="L79" s="216"/>
      <c r="M79" s="217">
        <f ca="1">IF(NOT(ISERROR(MATCH(L79,_xlfn.ANCHORARRAY(E90),0))),K92&amp;"Por favor no seleccionar los criterios de impacto",L79)</f>
        <v>0</v>
      </c>
      <c r="N79" s="218"/>
      <c r="O79" s="217"/>
      <c r="P79" s="219"/>
      <c r="Q79" s="113">
        <v>5</v>
      </c>
      <c r="R79" s="114"/>
      <c r="S79" s="115" t="str">
        <f t="shared" si="93"/>
        <v/>
      </c>
      <c r="T79" s="116"/>
      <c r="U79" s="116"/>
      <c r="V79" s="117" t="str">
        <f t="shared" si="88"/>
        <v/>
      </c>
      <c r="W79" s="116"/>
      <c r="X79" s="116"/>
      <c r="Y79" s="116"/>
      <c r="Z79" s="118" t="str">
        <f t="shared" si="94"/>
        <v/>
      </c>
      <c r="AA79" s="119" t="str">
        <f t="shared" si="89"/>
        <v/>
      </c>
      <c r="AB79" s="117" t="str">
        <f t="shared" si="90"/>
        <v/>
      </c>
      <c r="AC79" s="119" t="str">
        <f t="shared" si="91"/>
        <v/>
      </c>
      <c r="AD79" s="117" t="str">
        <f t="shared" si="95"/>
        <v/>
      </c>
      <c r="AE79" s="120" t="str">
        <f t="shared" ref="AE79:AE80" si="96">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38" x14ac:dyDescent="0.3">
      <c r="A80" s="220"/>
      <c r="B80" s="139"/>
      <c r="C80" s="139"/>
      <c r="D80" s="221"/>
      <c r="E80" s="211"/>
      <c r="F80" s="141"/>
      <c r="G80" s="221"/>
      <c r="H80" s="140"/>
      <c r="I80" s="222"/>
      <c r="J80" s="218"/>
      <c r="K80" s="217"/>
      <c r="L80" s="216"/>
      <c r="M80" s="217">
        <f ca="1">IF(NOT(ISERROR(MATCH(L80,_xlfn.ANCHORARRAY(E91),0))),K93&amp;"Por favor no seleccionar los criterios de impacto",L80)</f>
        <v>0</v>
      </c>
      <c r="N80" s="218"/>
      <c r="O80" s="217"/>
      <c r="P80" s="219"/>
      <c r="Q80" s="113">
        <v>6</v>
      </c>
      <c r="R80" s="114"/>
      <c r="S80" s="115" t="str">
        <f t="shared" si="93"/>
        <v/>
      </c>
      <c r="T80" s="116"/>
      <c r="U80" s="116"/>
      <c r="V80" s="117" t="str">
        <f t="shared" si="88"/>
        <v/>
      </c>
      <c r="W80" s="116"/>
      <c r="X80" s="116"/>
      <c r="Y80" s="116"/>
      <c r="Z80" s="118" t="str">
        <f t="shared" si="94"/>
        <v/>
      </c>
      <c r="AA80" s="119" t="str">
        <f t="shared" si="89"/>
        <v/>
      </c>
      <c r="AB80" s="117" t="str">
        <f t="shared" si="90"/>
        <v/>
      </c>
      <c r="AC80" s="119" t="str">
        <f t="shared" si="91"/>
        <v/>
      </c>
      <c r="AD80" s="117" t="str">
        <f t="shared" si="95"/>
        <v/>
      </c>
      <c r="AE80" s="120" t="str">
        <f t="shared" si="96"/>
        <v/>
      </c>
      <c r="AF80" s="116"/>
      <c r="AG80" s="121"/>
      <c r="AH80" s="122"/>
      <c r="AI80" s="123"/>
      <c r="AJ80" s="123"/>
      <c r="AK80" s="121"/>
      <c r="AL80" s="122"/>
    </row>
    <row r="81" spans="1:38" x14ac:dyDescent="0.3">
      <c r="A81" s="220">
        <v>3</v>
      </c>
      <c r="B81" s="139"/>
      <c r="C81" s="139"/>
      <c r="D81" s="221"/>
      <c r="E81" s="211"/>
      <c r="F81" s="141"/>
      <c r="G81" s="221"/>
      <c r="H81" s="140"/>
      <c r="I81" s="222"/>
      <c r="J81" s="218" t="str">
        <f>IF(I81&lt;=0,"",IF(I81&lt;=2,"Muy Baja",IF(I81&lt;=24,"Baja",IF(I81&lt;=500,"Media",IF(I81&lt;=5000,"Alta","Muy Alta")))))</f>
        <v/>
      </c>
      <c r="K81" s="217" t="str">
        <f>IF(J81="","",IF(J81="Muy Baja",0.2,IF(J81="Baja",0.4,IF(J81="Media",0.6,IF(J81="Alta",0.8,IF(J81="Muy Alta",1,))))))</f>
        <v/>
      </c>
      <c r="L81" s="216"/>
      <c r="M81" s="217">
        <f>IF(NOT(ISERROR(MATCH(L81,'Tabla Impacto'!$B$221:$B$223,0))),'Tabla Impacto'!$F$223&amp;"Por favor no seleccionar los criterios de impacto(Afectación Económica o presupuestal y Pérdida Reputacional)",L81)</f>
        <v>0</v>
      </c>
      <c r="N81" s="218" t="str">
        <f>IF(OR(M81='Tabla Impacto'!$C$11,M81='Tabla Impacto'!$D$11),"Leve",IF(OR(M81='Tabla Impacto'!$C$12,M81='Tabla Impacto'!$D$12),"Menor",IF(OR(M81='Tabla Impacto'!$C$13,M81='Tabla Impacto'!$D$13),"Moderado",IF(OR(M81='Tabla Impacto'!$C$14,M81='Tabla Impacto'!$D$14),"Mayor",IF(OR(M81='Tabla Impacto'!$C$15,M81='Tabla Impacto'!$D$15),"Catastrófico","")))))</f>
        <v/>
      </c>
      <c r="O81" s="217" t="str">
        <f>IF(N81="","",IF(N81="Leve",0.2,IF(N81="Menor",0.4,IF(N81="Moderado",0.6,IF(N81="Mayor",0.8,IF(N81="Catastrófico",1,))))))</f>
        <v/>
      </c>
      <c r="P81" s="219" t="str">
        <f>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20"/>
      <c r="B82" s="139"/>
      <c r="C82" s="139"/>
      <c r="D82" s="221"/>
      <c r="E82" s="211"/>
      <c r="F82" s="141"/>
      <c r="G82" s="221"/>
      <c r="H82" s="140"/>
      <c r="I82" s="222"/>
      <c r="J82" s="218"/>
      <c r="K82" s="217"/>
      <c r="L82" s="216"/>
      <c r="M82" s="217">
        <f t="shared" ref="M82:M86" ca="1" si="97">IF(NOT(ISERROR(MATCH(L82,_xlfn.ANCHORARRAY(E93),0))),K95&amp;"Por favor no seleccionar los criterios de impacto",L82)</f>
        <v>0</v>
      </c>
      <c r="N82" s="218"/>
      <c r="O82" s="217"/>
      <c r="P82" s="219"/>
      <c r="Q82" s="113">
        <v>2</v>
      </c>
      <c r="R82" s="114"/>
      <c r="S82" s="115" t="str">
        <f>IF(OR(T82="Preventivo",T82="Detectivo"),"Probabilidad",IF(T82="Correctivo","Impacto",""))</f>
        <v/>
      </c>
      <c r="T82" s="116"/>
      <c r="U82" s="116"/>
      <c r="V82" s="117" t="str">
        <f t="shared" ref="V82:V86" si="98">IF(AND(T82="Preventivo",U82="Automático"),"50%",IF(AND(T82="Preventivo",U82="Manual"),"40%",IF(AND(T82="Detectivo",U82="Automático"),"40%",IF(AND(T82="Detectivo",U82="Manual"),"30%",IF(AND(T82="Correctivo",U82="Automático"),"35%",IF(AND(T82="Correctivo",U82="Manual"),"25%",""))))))</f>
        <v/>
      </c>
      <c r="W82" s="116"/>
      <c r="X82" s="116"/>
      <c r="Y82" s="116"/>
      <c r="Z82" s="127" t="str">
        <f>IFERROR(IF(AND(S81="Probabilidad",S82="Probabilidad"),(AB81-(+AB81*V82)),IF(S82="Probabilidad",(K81-(+K81*V82)),IF(S82="Impacto",AB81,""))),"")</f>
        <v/>
      </c>
      <c r="AA82" s="119" t="str">
        <f t="shared" ref="AA82:AA86" si="99">IFERROR(IF(Z82="","",IF(Z82&lt;=0.2,"Muy Baja",IF(Z82&lt;=0.4,"Baja",IF(Z82&lt;=0.6,"Media",IF(Z82&lt;=0.8,"Alta","Muy Alta"))))),"")</f>
        <v/>
      </c>
      <c r="AB82" s="117" t="str">
        <f t="shared" ref="AB82:AB86" si="100">+Z82</f>
        <v/>
      </c>
      <c r="AC82" s="119" t="str">
        <f t="shared" ref="AC82:AC86" si="101">IFERROR(IF(AD82="","",IF(AD82&lt;=0.2,"Leve",IF(AD82&lt;=0.4,"Menor",IF(AD82&lt;=0.6,"Moderado",IF(AD82&lt;=0.8,"Mayor","Catastrófico"))))),"")</f>
        <v/>
      </c>
      <c r="AD82" s="117" t="str">
        <f>IFERROR(IF(AND(S81="Impacto",S82="Impacto"),(AD75-(+AD75*V82)),IF(S82="Impacto",($O$21-(+$O$21*V82)),IF(S82="Probabilidad",AD75,""))),"")</f>
        <v/>
      </c>
      <c r="AE82" s="120" t="str">
        <f t="shared" ref="AE82:AE83" si="102">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20"/>
      <c r="B83" s="139"/>
      <c r="C83" s="139"/>
      <c r="D83" s="221"/>
      <c r="E83" s="211"/>
      <c r="F83" s="141"/>
      <c r="G83" s="221"/>
      <c r="H83" s="140"/>
      <c r="I83" s="222"/>
      <c r="J83" s="218"/>
      <c r="K83" s="217"/>
      <c r="L83" s="216"/>
      <c r="M83" s="217">
        <f t="shared" ca="1" si="97"/>
        <v>0</v>
      </c>
      <c r="N83" s="218"/>
      <c r="O83" s="217"/>
      <c r="P83" s="219"/>
      <c r="Q83" s="113">
        <v>3</v>
      </c>
      <c r="R83" s="126"/>
      <c r="S83" s="115" t="str">
        <f>IF(OR(T83="Preventivo",T83="Detectivo"),"Probabilidad",IF(T83="Correctivo","Impacto",""))</f>
        <v/>
      </c>
      <c r="T83" s="116"/>
      <c r="U83" s="116"/>
      <c r="V83" s="117" t="str">
        <f t="shared" si="98"/>
        <v/>
      </c>
      <c r="W83" s="116"/>
      <c r="X83" s="116"/>
      <c r="Y83" s="116"/>
      <c r="Z83" s="118" t="str">
        <f>IFERROR(IF(AND(S82="Probabilidad",S83="Probabilidad"),(AB82-(+AB82*V83)),IF(AND(S82="Impacto",S83="Probabilidad"),(AB81-(+AB81*V83)),IF(S83="Impacto",AB82,""))),"")</f>
        <v/>
      </c>
      <c r="AA83" s="119" t="str">
        <f t="shared" si="99"/>
        <v/>
      </c>
      <c r="AB83" s="117" t="str">
        <f t="shared" si="100"/>
        <v/>
      </c>
      <c r="AC83" s="119" t="str">
        <f t="shared" si="101"/>
        <v/>
      </c>
      <c r="AD83" s="117" t="str">
        <f>IFERROR(IF(AND(S82="Impacto",S83="Impacto"),(AD82-(+AD82*V83)),IF(AND(S82="Probabilidad",S83="Impacto"),(AD81-(+AD81*V83)),IF(S83="Probabilidad",AD82,""))),"")</f>
        <v/>
      </c>
      <c r="AE83" s="120" t="str">
        <f t="shared" si="102"/>
        <v/>
      </c>
      <c r="AF83" s="116"/>
      <c r="AG83" s="121"/>
      <c r="AH83" s="122"/>
      <c r="AI83" s="123"/>
      <c r="AJ83" s="123"/>
      <c r="AK83" s="121"/>
      <c r="AL83" s="122"/>
    </row>
    <row r="84" spans="1:38" x14ac:dyDescent="0.3">
      <c r="A84" s="220"/>
      <c r="B84" s="139"/>
      <c r="C84" s="139"/>
      <c r="D84" s="221"/>
      <c r="E84" s="211"/>
      <c r="F84" s="141"/>
      <c r="G84" s="221"/>
      <c r="H84" s="140"/>
      <c r="I84" s="222"/>
      <c r="J84" s="218"/>
      <c r="K84" s="217"/>
      <c r="L84" s="216"/>
      <c r="M84" s="217">
        <f t="shared" ca="1" si="97"/>
        <v>0</v>
      </c>
      <c r="N84" s="218"/>
      <c r="O84" s="217"/>
      <c r="P84" s="219"/>
      <c r="Q84" s="113">
        <v>4</v>
      </c>
      <c r="R84" s="114"/>
      <c r="S84" s="115" t="str">
        <f t="shared" ref="S84:S86" si="103">IF(OR(T84="Preventivo",T84="Detectivo"),"Probabilidad",IF(T84="Correctivo","Impacto",""))</f>
        <v/>
      </c>
      <c r="T84" s="116"/>
      <c r="U84" s="116"/>
      <c r="V84" s="117" t="str">
        <f t="shared" si="98"/>
        <v/>
      </c>
      <c r="W84" s="116"/>
      <c r="X84" s="116"/>
      <c r="Y84" s="116"/>
      <c r="Z84" s="118" t="str">
        <f t="shared" ref="Z84:Z86" si="104">IFERROR(IF(AND(S83="Probabilidad",S84="Probabilidad"),(AB83-(+AB83*V84)),IF(AND(S83="Impacto",S84="Probabilidad"),(AB82-(+AB82*V84)),IF(S84="Impacto",AB83,""))),"")</f>
        <v/>
      </c>
      <c r="AA84" s="119" t="str">
        <f t="shared" si="99"/>
        <v/>
      </c>
      <c r="AB84" s="117" t="str">
        <f t="shared" si="100"/>
        <v/>
      </c>
      <c r="AC84" s="119" t="str">
        <f t="shared" si="101"/>
        <v/>
      </c>
      <c r="AD84" s="117" t="str">
        <f t="shared" ref="AD84:AD86" si="105">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20"/>
      <c r="B85" s="139"/>
      <c r="C85" s="139"/>
      <c r="D85" s="221"/>
      <c r="E85" s="211"/>
      <c r="F85" s="141"/>
      <c r="G85" s="221"/>
      <c r="H85" s="140"/>
      <c r="I85" s="222"/>
      <c r="J85" s="218"/>
      <c r="K85" s="217"/>
      <c r="L85" s="216"/>
      <c r="M85" s="217">
        <f t="shared" ca="1" si="97"/>
        <v>0</v>
      </c>
      <c r="N85" s="218"/>
      <c r="O85" s="217"/>
      <c r="P85" s="219"/>
      <c r="Q85" s="113">
        <v>5</v>
      </c>
      <c r="R85" s="114"/>
      <c r="S85" s="115" t="str">
        <f t="shared" si="103"/>
        <v/>
      </c>
      <c r="T85" s="116"/>
      <c r="U85" s="116"/>
      <c r="V85" s="117" t="str">
        <f t="shared" si="98"/>
        <v/>
      </c>
      <c r="W85" s="116"/>
      <c r="X85" s="116"/>
      <c r="Y85" s="116"/>
      <c r="Z85" s="118" t="str">
        <f t="shared" si="104"/>
        <v/>
      </c>
      <c r="AA85" s="119" t="str">
        <f t="shared" si="99"/>
        <v/>
      </c>
      <c r="AB85" s="117" t="str">
        <f t="shared" si="100"/>
        <v/>
      </c>
      <c r="AC85" s="119" t="str">
        <f t="shared" si="101"/>
        <v/>
      </c>
      <c r="AD85" s="117" t="str">
        <f t="shared" si="105"/>
        <v/>
      </c>
      <c r="AE85" s="120" t="str">
        <f t="shared" ref="AE85:AE86" si="106">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20"/>
      <c r="B86" s="139"/>
      <c r="C86" s="139"/>
      <c r="D86" s="221"/>
      <c r="E86" s="211"/>
      <c r="F86" s="141"/>
      <c r="G86" s="221"/>
      <c r="H86" s="140"/>
      <c r="I86" s="222"/>
      <c r="J86" s="218"/>
      <c r="K86" s="217"/>
      <c r="L86" s="216"/>
      <c r="M86" s="217">
        <f t="shared" ca="1" si="97"/>
        <v>0</v>
      </c>
      <c r="N86" s="218"/>
      <c r="O86" s="217"/>
      <c r="P86" s="219"/>
      <c r="Q86" s="113">
        <v>6</v>
      </c>
      <c r="R86" s="114"/>
      <c r="S86" s="115" t="str">
        <f t="shared" si="103"/>
        <v/>
      </c>
      <c r="T86" s="116"/>
      <c r="U86" s="116"/>
      <c r="V86" s="117" t="str">
        <f t="shared" si="98"/>
        <v/>
      </c>
      <c r="W86" s="116"/>
      <c r="X86" s="116"/>
      <c r="Y86" s="116"/>
      <c r="Z86" s="118" t="str">
        <f t="shared" si="104"/>
        <v/>
      </c>
      <c r="AA86" s="119" t="str">
        <f t="shared" si="99"/>
        <v/>
      </c>
      <c r="AB86" s="117" t="str">
        <f t="shared" si="100"/>
        <v/>
      </c>
      <c r="AC86" s="119" t="str">
        <f t="shared" si="101"/>
        <v/>
      </c>
      <c r="AD86" s="117" t="str">
        <f t="shared" si="105"/>
        <v/>
      </c>
      <c r="AE86" s="120" t="str">
        <f t="shared" si="106"/>
        <v/>
      </c>
      <c r="AF86" s="116"/>
      <c r="AG86" s="121"/>
      <c r="AH86" s="122"/>
      <c r="AI86" s="123"/>
      <c r="AJ86" s="123"/>
      <c r="AK86" s="121"/>
      <c r="AL86" s="122"/>
    </row>
    <row r="87" spans="1:38" x14ac:dyDescent="0.3">
      <c r="A87" s="220">
        <v>4</v>
      </c>
      <c r="B87" s="139"/>
      <c r="C87" s="139"/>
      <c r="D87" s="221"/>
      <c r="E87" s="211"/>
      <c r="F87" s="141"/>
      <c r="G87" s="221"/>
      <c r="H87" s="140"/>
      <c r="I87" s="222"/>
      <c r="J87" s="218" t="str">
        <f>IF(I87&lt;=0,"",IF(I87&lt;=2,"Muy Baja",IF(I87&lt;=24,"Baja",IF(I87&lt;=500,"Media",IF(I87&lt;=5000,"Alta","Muy Alta")))))</f>
        <v/>
      </c>
      <c r="K87" s="217" t="str">
        <f>IF(J87="","",IF(J87="Muy Baja",0.2,IF(J87="Baja",0.4,IF(J87="Media",0.6,IF(J87="Alta",0.8,IF(J87="Muy Alta",1,))))))</f>
        <v/>
      </c>
      <c r="L87" s="216"/>
      <c r="M87" s="217">
        <f>IF(NOT(ISERROR(MATCH(L87,'Tabla Impacto'!$B$221:$B$223,0))),'Tabla Impacto'!$F$223&amp;"Por favor no seleccionar los criterios de impacto(Afectación Económica o presupuestal y Pérdida Reputacional)",L87)</f>
        <v>0</v>
      </c>
      <c r="N87" s="218" t="str">
        <f>IF(OR(M87='Tabla Impacto'!$C$11,M87='Tabla Impacto'!$D$11),"Leve",IF(OR(M87='Tabla Impacto'!$C$12,M87='Tabla Impacto'!$D$12),"Menor",IF(OR(M87='Tabla Impacto'!$C$13,M87='Tabla Impacto'!$D$13),"Moderado",IF(OR(M87='Tabla Impacto'!$C$14,M87='Tabla Impacto'!$D$14),"Mayor",IF(OR(M87='Tabla Impacto'!$C$15,M87='Tabla Impacto'!$D$15),"Catastrófico","")))))</f>
        <v/>
      </c>
      <c r="O87" s="217" t="str">
        <f>IF(N87="","",IF(N87="Leve",0.2,IF(N87="Menor",0.4,IF(N87="Moderado",0.6,IF(N87="Mayor",0.8,IF(N87="Catastrófico",1,))))))</f>
        <v/>
      </c>
      <c r="P87" s="219" t="str">
        <f>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20"/>
      <c r="B88" s="139"/>
      <c r="C88" s="139"/>
      <c r="D88" s="221"/>
      <c r="E88" s="211"/>
      <c r="F88" s="141"/>
      <c r="G88" s="221"/>
      <c r="H88" s="140"/>
      <c r="I88" s="222"/>
      <c r="J88" s="218"/>
      <c r="K88" s="217"/>
      <c r="L88" s="216"/>
      <c r="M88" s="217">
        <f t="shared" ref="M88:M92" ca="1" si="107">IF(NOT(ISERROR(MATCH(L88,_xlfn.ANCHORARRAY(E99),0))),K101&amp;"Por favor no seleccionar los criterios de impacto",L88)</f>
        <v>0</v>
      </c>
      <c r="N88" s="218"/>
      <c r="O88" s="217"/>
      <c r="P88" s="219"/>
      <c r="Q88" s="113">
        <v>2</v>
      </c>
      <c r="R88" s="114"/>
      <c r="S88" s="115" t="str">
        <f>IF(OR(T88="Preventivo",T88="Detectivo"),"Probabilidad",IF(T88="Correctivo","Impacto",""))</f>
        <v/>
      </c>
      <c r="T88" s="116"/>
      <c r="U88" s="116"/>
      <c r="V88" s="117" t="str">
        <f t="shared" ref="V88:V92" si="108">IF(AND(T88="Preventivo",U88="Automático"),"50%",IF(AND(T88="Preventivo",U88="Manual"),"40%",IF(AND(T88="Detectivo",U88="Automático"),"40%",IF(AND(T88="Detectivo",U88="Manual"),"30%",IF(AND(T88="Correctivo",U88="Automático"),"35%",IF(AND(T88="Correctivo",U88="Manual"),"25%",""))))))</f>
        <v/>
      </c>
      <c r="W88" s="116"/>
      <c r="X88" s="116"/>
      <c r="Y88" s="116"/>
      <c r="Z88" s="118" t="str">
        <f>IFERROR(IF(AND(S87="Probabilidad",S88="Probabilidad"),(AB87-(+AB87*V88)),IF(S88="Probabilidad",(K87-(+K87*V88)),IF(S88="Impacto",AB87,""))),"")</f>
        <v/>
      </c>
      <c r="AA88" s="119" t="str">
        <f t="shared" ref="AA88:AA90" si="109">IFERROR(IF(Z88="","",IF(Z88&lt;=0.2,"Muy Baja",IF(Z88&lt;=0.4,"Baja",IF(Z88&lt;=0.6,"Media",IF(Z88&lt;=0.8,"Alta","Muy Alta"))))),"")</f>
        <v/>
      </c>
      <c r="AB88" s="117" t="str">
        <f t="shared" ref="AB88:AB92" si="110">+Z88</f>
        <v/>
      </c>
      <c r="AC88" s="119" t="str">
        <f t="shared" ref="AC88:AC92" si="111">IFERROR(IF(AD88="","",IF(AD88&lt;=0.2,"Leve",IF(AD88&lt;=0.4,"Menor",IF(AD88&lt;=0.6,"Moderado",IF(AD88&lt;=0.8,"Mayor","Catastrófico"))))),"")</f>
        <v/>
      </c>
      <c r="AD88" s="117" t="str">
        <f>IFERROR(IF(AND(S87="Impacto",S88="Impacto"),(AD81-(+AD81*V88)),IF(S88="Impacto",($O$27-(+$O$27*V88)),IF(S88="Probabilidad",AD81,""))),"")</f>
        <v/>
      </c>
      <c r="AE88" s="120" t="str">
        <f t="shared" ref="AE88:AE89" si="112">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20"/>
      <c r="B89" s="139"/>
      <c r="C89" s="139"/>
      <c r="D89" s="221"/>
      <c r="E89" s="211"/>
      <c r="F89" s="141"/>
      <c r="G89" s="221"/>
      <c r="H89" s="140"/>
      <c r="I89" s="222"/>
      <c r="J89" s="218"/>
      <c r="K89" s="217"/>
      <c r="L89" s="216"/>
      <c r="M89" s="217">
        <f t="shared" ca="1" si="107"/>
        <v>0</v>
      </c>
      <c r="N89" s="218"/>
      <c r="O89" s="217"/>
      <c r="P89" s="219"/>
      <c r="Q89" s="113">
        <v>3</v>
      </c>
      <c r="R89" s="126"/>
      <c r="S89" s="115" t="str">
        <f>IF(OR(T89="Preventivo",T89="Detectivo"),"Probabilidad",IF(T89="Correctivo","Impacto",""))</f>
        <v/>
      </c>
      <c r="T89" s="116"/>
      <c r="U89" s="116"/>
      <c r="V89" s="117" t="str">
        <f t="shared" si="108"/>
        <v/>
      </c>
      <c r="W89" s="116"/>
      <c r="X89" s="116"/>
      <c r="Y89" s="116"/>
      <c r="Z89" s="118" t="str">
        <f>IFERROR(IF(AND(S88="Probabilidad",S89="Probabilidad"),(AB88-(+AB88*V89)),IF(AND(S88="Impacto",S89="Probabilidad"),(AB87-(+AB87*V89)),IF(S89="Impacto",AB88,""))),"")</f>
        <v/>
      </c>
      <c r="AA89" s="119" t="str">
        <f t="shared" si="109"/>
        <v/>
      </c>
      <c r="AB89" s="117" t="str">
        <f t="shared" si="110"/>
        <v/>
      </c>
      <c r="AC89" s="119" t="str">
        <f t="shared" si="111"/>
        <v/>
      </c>
      <c r="AD89" s="117" t="str">
        <f>IFERROR(IF(AND(S88="Impacto",S89="Impacto"),(AD88-(+AD88*V89)),IF(AND(S88="Probabilidad",S89="Impacto"),(AD87-(+AD87*V89)),IF(S89="Probabilidad",AD88,""))),"")</f>
        <v/>
      </c>
      <c r="AE89" s="120" t="str">
        <f t="shared" si="112"/>
        <v/>
      </c>
      <c r="AF89" s="116"/>
      <c r="AG89" s="121"/>
      <c r="AH89" s="122"/>
      <c r="AI89" s="123"/>
      <c r="AJ89" s="123"/>
      <c r="AK89" s="121"/>
      <c r="AL89" s="122"/>
    </row>
    <row r="90" spans="1:38" x14ac:dyDescent="0.3">
      <c r="A90" s="220"/>
      <c r="B90" s="139"/>
      <c r="C90" s="139"/>
      <c r="D90" s="221"/>
      <c r="E90" s="211"/>
      <c r="F90" s="141"/>
      <c r="G90" s="221"/>
      <c r="H90" s="140"/>
      <c r="I90" s="222"/>
      <c r="J90" s="218"/>
      <c r="K90" s="217"/>
      <c r="L90" s="216"/>
      <c r="M90" s="217">
        <f t="shared" ca="1" si="107"/>
        <v>0</v>
      </c>
      <c r="N90" s="218"/>
      <c r="O90" s="217"/>
      <c r="P90" s="219"/>
      <c r="Q90" s="113">
        <v>4</v>
      </c>
      <c r="R90" s="114"/>
      <c r="S90" s="115" t="str">
        <f t="shared" ref="S90:S92" si="113">IF(OR(T90="Preventivo",T90="Detectivo"),"Probabilidad",IF(T90="Correctivo","Impacto",""))</f>
        <v/>
      </c>
      <c r="T90" s="116"/>
      <c r="U90" s="116"/>
      <c r="V90" s="117" t="str">
        <f t="shared" si="108"/>
        <v/>
      </c>
      <c r="W90" s="116"/>
      <c r="X90" s="116"/>
      <c r="Y90" s="116"/>
      <c r="Z90" s="118" t="str">
        <f t="shared" ref="Z90:Z92" si="114">IFERROR(IF(AND(S89="Probabilidad",S90="Probabilidad"),(AB89-(+AB89*V90)),IF(AND(S89="Impacto",S90="Probabilidad"),(AB88-(+AB88*V90)),IF(S90="Impacto",AB89,""))),"")</f>
        <v/>
      </c>
      <c r="AA90" s="119" t="str">
        <f t="shared" si="109"/>
        <v/>
      </c>
      <c r="AB90" s="117" t="str">
        <f t="shared" si="110"/>
        <v/>
      </c>
      <c r="AC90" s="119" t="str">
        <f t="shared" si="111"/>
        <v/>
      </c>
      <c r="AD90" s="117" t="str">
        <f t="shared" ref="AD90:AD92" si="115">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20"/>
      <c r="B91" s="139"/>
      <c r="C91" s="139"/>
      <c r="D91" s="221"/>
      <c r="E91" s="211"/>
      <c r="F91" s="141"/>
      <c r="G91" s="221"/>
      <c r="H91" s="140"/>
      <c r="I91" s="222"/>
      <c r="J91" s="218"/>
      <c r="K91" s="217"/>
      <c r="L91" s="216"/>
      <c r="M91" s="217">
        <f t="shared" ca="1" si="107"/>
        <v>0</v>
      </c>
      <c r="N91" s="218"/>
      <c r="O91" s="217"/>
      <c r="P91" s="219"/>
      <c r="Q91" s="113">
        <v>5</v>
      </c>
      <c r="R91" s="114"/>
      <c r="S91" s="115" t="str">
        <f t="shared" si="113"/>
        <v/>
      </c>
      <c r="T91" s="116"/>
      <c r="U91" s="116"/>
      <c r="V91" s="117" t="str">
        <f t="shared" si="108"/>
        <v/>
      </c>
      <c r="W91" s="116"/>
      <c r="X91" s="116"/>
      <c r="Y91" s="116"/>
      <c r="Z91" s="127" t="str">
        <f t="shared" si="114"/>
        <v/>
      </c>
      <c r="AA91" s="119" t="str">
        <f>IFERROR(IF(Z91="","",IF(Z91&lt;=0.2,"Muy Baja",IF(Z91&lt;=0.4,"Baja",IF(Z91&lt;=0.6,"Media",IF(Z91&lt;=0.8,"Alta","Muy Alta"))))),"")</f>
        <v/>
      </c>
      <c r="AB91" s="117" t="str">
        <f t="shared" si="110"/>
        <v/>
      </c>
      <c r="AC91" s="119" t="str">
        <f t="shared" si="111"/>
        <v/>
      </c>
      <c r="AD91" s="117" t="str">
        <f t="shared" si="115"/>
        <v/>
      </c>
      <c r="AE91" s="120" t="str">
        <f t="shared" ref="AE91:AE92" si="116">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20"/>
      <c r="B92" s="139"/>
      <c r="C92" s="139"/>
      <c r="D92" s="221"/>
      <c r="E92" s="211"/>
      <c r="F92" s="141"/>
      <c r="G92" s="221"/>
      <c r="H92" s="140"/>
      <c r="I92" s="222"/>
      <c r="J92" s="218"/>
      <c r="K92" s="217"/>
      <c r="L92" s="216"/>
      <c r="M92" s="217">
        <f t="shared" ca="1" si="107"/>
        <v>0</v>
      </c>
      <c r="N92" s="218"/>
      <c r="O92" s="217"/>
      <c r="P92" s="219"/>
      <c r="Q92" s="113">
        <v>6</v>
      </c>
      <c r="R92" s="114"/>
      <c r="S92" s="115" t="str">
        <f t="shared" si="113"/>
        <v/>
      </c>
      <c r="T92" s="116"/>
      <c r="U92" s="116"/>
      <c r="V92" s="117" t="str">
        <f t="shared" si="108"/>
        <v/>
      </c>
      <c r="W92" s="116"/>
      <c r="X92" s="116"/>
      <c r="Y92" s="116"/>
      <c r="Z92" s="118" t="str">
        <f t="shared" si="114"/>
        <v/>
      </c>
      <c r="AA92" s="119" t="str">
        <f t="shared" ref="AA92" si="117">IFERROR(IF(Z92="","",IF(Z92&lt;=0.2,"Muy Baja",IF(Z92&lt;=0.4,"Baja",IF(Z92&lt;=0.6,"Media",IF(Z92&lt;=0.8,"Alta","Muy Alta"))))),"")</f>
        <v/>
      </c>
      <c r="AB92" s="117" t="str">
        <f t="shared" si="110"/>
        <v/>
      </c>
      <c r="AC92" s="119" t="str">
        <f t="shared" si="111"/>
        <v/>
      </c>
      <c r="AD92" s="117" t="str">
        <f t="shared" si="115"/>
        <v/>
      </c>
      <c r="AE92" s="120" t="str">
        <f t="shared" si="116"/>
        <v/>
      </c>
      <c r="AF92" s="116"/>
      <c r="AG92" s="121"/>
      <c r="AH92" s="122"/>
      <c r="AI92" s="123"/>
      <c r="AJ92" s="123"/>
      <c r="AK92" s="121"/>
      <c r="AL92" s="122"/>
    </row>
    <row r="93" spans="1:38" x14ac:dyDescent="0.3">
      <c r="A93" s="220">
        <v>5</v>
      </c>
      <c r="B93" s="139"/>
      <c r="C93" s="139"/>
      <c r="D93" s="221"/>
      <c r="E93" s="211"/>
      <c r="F93" s="141"/>
      <c r="G93" s="221"/>
      <c r="H93" s="140"/>
      <c r="I93" s="222"/>
      <c r="J93" s="218" t="str">
        <f>IF(I93&lt;=0,"",IF(I93&lt;=2,"Muy Baja",IF(I93&lt;=24,"Baja",IF(I93&lt;=500,"Media",IF(I93&lt;=5000,"Alta","Muy Alta")))))</f>
        <v/>
      </c>
      <c r="K93" s="217" t="str">
        <f>IF(J93="","",IF(J93="Muy Baja",0.2,IF(J93="Baja",0.4,IF(J93="Media",0.6,IF(J93="Alta",0.8,IF(J93="Muy Alta",1,))))))</f>
        <v/>
      </c>
      <c r="L93" s="216"/>
      <c r="M93" s="217">
        <f>IF(NOT(ISERROR(MATCH(L93,'Tabla Impacto'!$B$221:$B$223,0))),'Tabla Impacto'!$F$223&amp;"Por favor no seleccionar los criterios de impacto(Afectación Económica o presupuestal y Pérdida Reputacional)",L93)</f>
        <v>0</v>
      </c>
      <c r="N93" s="218" t="str">
        <f>IF(OR(M93='Tabla Impacto'!$C$11,M93='Tabla Impacto'!$D$11),"Leve",IF(OR(M93='Tabla Impacto'!$C$12,M93='Tabla Impacto'!$D$12),"Menor",IF(OR(M93='Tabla Impacto'!$C$13,M93='Tabla Impacto'!$D$13),"Moderado",IF(OR(M93='Tabla Impacto'!$C$14,M93='Tabla Impacto'!$D$14),"Mayor",IF(OR(M93='Tabla Impacto'!$C$15,M93='Tabla Impacto'!$D$15),"Catastrófico","")))))</f>
        <v/>
      </c>
      <c r="O93" s="217" t="str">
        <f>IF(N93="","",IF(N93="Leve",0.2,IF(N93="Menor",0.4,IF(N93="Moderado",0.6,IF(N93="Mayor",0.8,IF(N93="Catastrófico",1,))))))</f>
        <v/>
      </c>
      <c r="P93" s="219" t="str">
        <f>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20"/>
      <c r="B94" s="139"/>
      <c r="C94" s="139"/>
      <c r="D94" s="221"/>
      <c r="E94" s="211"/>
      <c r="F94" s="141"/>
      <c r="G94" s="221"/>
      <c r="H94" s="140"/>
      <c r="I94" s="222"/>
      <c r="J94" s="218"/>
      <c r="K94" s="217"/>
      <c r="L94" s="216"/>
      <c r="M94" s="217">
        <f t="shared" ref="M94:M98" ca="1" si="118">IF(NOT(ISERROR(MATCH(L94,_xlfn.ANCHORARRAY(E105),0))),K107&amp;"Por favor no seleccionar los criterios de impacto",L94)</f>
        <v>0</v>
      </c>
      <c r="N94" s="218"/>
      <c r="O94" s="217"/>
      <c r="P94" s="219"/>
      <c r="Q94" s="113">
        <v>2</v>
      </c>
      <c r="R94" s="114"/>
      <c r="S94" s="115" t="str">
        <f>IF(OR(T94="Preventivo",T94="Detectivo"),"Probabilidad",IF(T94="Correctivo","Impacto",""))</f>
        <v/>
      </c>
      <c r="T94" s="116"/>
      <c r="U94" s="116"/>
      <c r="V94" s="117" t="str">
        <f t="shared" ref="V94:V98" si="119">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8" si="120">IFERROR(IF(Z94="","",IF(Z94&lt;=0.2,"Muy Baja",IF(Z94&lt;=0.4,"Baja",IF(Z94&lt;=0.6,"Media",IF(Z94&lt;=0.8,"Alta","Muy Alta"))))),"")</f>
        <v/>
      </c>
      <c r="AB94" s="117" t="str">
        <f t="shared" ref="AB94:AB98" si="121">+Z94</f>
        <v/>
      </c>
      <c r="AC94" s="119" t="str">
        <f t="shared" ref="AC94:AC98" si="122">IFERROR(IF(AD94="","",IF(AD94&lt;=0.2,"Leve",IF(AD94&lt;=0.4,"Menor",IF(AD94&lt;=0.6,"Moderado",IF(AD94&lt;=0.8,"Mayor","Catastrófico"))))),"")</f>
        <v/>
      </c>
      <c r="AD94" s="117" t="str">
        <f>IFERROR(IF(AND(S93="Impacto",S94="Impacto"),(AD87-(+AD87*V94)),IF(S94="Impacto",($O$33-(+$O$33*V94)),IF(S94="Probabilidad",AD87,""))),"")</f>
        <v/>
      </c>
      <c r="AE94" s="120" t="str">
        <f t="shared" ref="AE94:AE95" si="123">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20"/>
      <c r="B95" s="139"/>
      <c r="C95" s="139"/>
      <c r="D95" s="221"/>
      <c r="E95" s="211"/>
      <c r="F95" s="141"/>
      <c r="G95" s="221"/>
      <c r="H95" s="140"/>
      <c r="I95" s="222"/>
      <c r="J95" s="218"/>
      <c r="K95" s="217"/>
      <c r="L95" s="216"/>
      <c r="M95" s="217">
        <f t="shared" ca="1" si="118"/>
        <v>0</v>
      </c>
      <c r="N95" s="218"/>
      <c r="O95" s="217"/>
      <c r="P95" s="219"/>
      <c r="Q95" s="113">
        <v>3</v>
      </c>
      <c r="R95" s="126"/>
      <c r="S95" s="115" t="str">
        <f>IF(OR(T95="Preventivo",T95="Detectivo"),"Probabilidad",IF(T95="Correctivo","Impacto",""))</f>
        <v/>
      </c>
      <c r="T95" s="116"/>
      <c r="U95" s="116"/>
      <c r="V95" s="117" t="str">
        <f t="shared" si="119"/>
        <v/>
      </c>
      <c r="W95" s="116"/>
      <c r="X95" s="116"/>
      <c r="Y95" s="116"/>
      <c r="Z95" s="118" t="str">
        <f>IFERROR(IF(AND(S94="Probabilidad",S95="Probabilidad"),(AB94-(+AB94*V95)),IF(AND(S94="Impacto",S95="Probabilidad"),(AB93-(+AB93*V95)),IF(S95="Impacto",AB94,""))),"")</f>
        <v/>
      </c>
      <c r="AA95" s="119" t="str">
        <f t="shared" si="120"/>
        <v/>
      </c>
      <c r="AB95" s="117" t="str">
        <f t="shared" si="121"/>
        <v/>
      </c>
      <c r="AC95" s="119" t="str">
        <f t="shared" si="122"/>
        <v/>
      </c>
      <c r="AD95" s="117" t="str">
        <f>IFERROR(IF(AND(S94="Impacto",S95="Impacto"),(AD94-(+AD94*V95)),IF(AND(S94="Probabilidad",S95="Impacto"),(AD93-(+AD93*V95)),IF(S95="Probabilidad",AD94,""))),"")</f>
        <v/>
      </c>
      <c r="AE95" s="120" t="str">
        <f t="shared" si="123"/>
        <v/>
      </c>
      <c r="AF95" s="116"/>
      <c r="AG95" s="121"/>
      <c r="AH95" s="122"/>
      <c r="AI95" s="123"/>
      <c r="AJ95" s="123"/>
      <c r="AK95" s="121"/>
      <c r="AL95" s="122"/>
    </row>
    <row r="96" spans="1:38" x14ac:dyDescent="0.3">
      <c r="A96" s="220"/>
      <c r="B96" s="139"/>
      <c r="C96" s="139"/>
      <c r="D96" s="221"/>
      <c r="E96" s="211"/>
      <c r="F96" s="141"/>
      <c r="G96" s="221"/>
      <c r="H96" s="140"/>
      <c r="I96" s="222"/>
      <c r="J96" s="218"/>
      <c r="K96" s="217"/>
      <c r="L96" s="216"/>
      <c r="M96" s="217">
        <f t="shared" ca="1" si="118"/>
        <v>0</v>
      </c>
      <c r="N96" s="218"/>
      <c r="O96" s="217"/>
      <c r="P96" s="219"/>
      <c r="Q96" s="113">
        <v>4</v>
      </c>
      <c r="R96" s="114"/>
      <c r="S96" s="115" t="str">
        <f t="shared" ref="S96:S98" si="124">IF(OR(T96="Preventivo",T96="Detectivo"),"Probabilidad",IF(T96="Correctivo","Impacto",""))</f>
        <v/>
      </c>
      <c r="T96" s="116"/>
      <c r="U96" s="116"/>
      <c r="V96" s="117" t="str">
        <f t="shared" si="119"/>
        <v/>
      </c>
      <c r="W96" s="116"/>
      <c r="X96" s="116"/>
      <c r="Y96" s="116"/>
      <c r="Z96" s="118" t="str">
        <f t="shared" ref="Z96:Z98" si="125">IFERROR(IF(AND(S95="Probabilidad",S96="Probabilidad"),(AB95-(+AB95*V96)),IF(AND(S95="Impacto",S96="Probabilidad"),(AB94-(+AB94*V96)),IF(S96="Impacto",AB95,""))),"")</f>
        <v/>
      </c>
      <c r="AA96" s="119" t="str">
        <f t="shared" si="120"/>
        <v/>
      </c>
      <c r="AB96" s="117" t="str">
        <f t="shared" si="121"/>
        <v/>
      </c>
      <c r="AC96" s="119" t="str">
        <f t="shared" si="122"/>
        <v/>
      </c>
      <c r="AD96" s="117" t="str">
        <f t="shared" ref="AD96:AD98" si="126">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20"/>
      <c r="B97" s="139"/>
      <c r="C97" s="139"/>
      <c r="D97" s="221"/>
      <c r="E97" s="211"/>
      <c r="F97" s="141"/>
      <c r="G97" s="221"/>
      <c r="H97" s="140"/>
      <c r="I97" s="222"/>
      <c r="J97" s="218"/>
      <c r="K97" s="217"/>
      <c r="L97" s="216"/>
      <c r="M97" s="217">
        <f t="shared" ca="1" si="118"/>
        <v>0</v>
      </c>
      <c r="N97" s="218"/>
      <c r="O97" s="217"/>
      <c r="P97" s="219"/>
      <c r="Q97" s="113">
        <v>5</v>
      </c>
      <c r="R97" s="114"/>
      <c r="S97" s="115" t="str">
        <f t="shared" si="124"/>
        <v/>
      </c>
      <c r="T97" s="116"/>
      <c r="U97" s="116"/>
      <c r="V97" s="117" t="str">
        <f t="shared" si="119"/>
        <v/>
      </c>
      <c r="W97" s="116"/>
      <c r="X97" s="116"/>
      <c r="Y97" s="116"/>
      <c r="Z97" s="118" t="str">
        <f t="shared" si="125"/>
        <v/>
      </c>
      <c r="AA97" s="119" t="str">
        <f t="shared" si="120"/>
        <v/>
      </c>
      <c r="AB97" s="117" t="str">
        <f t="shared" si="121"/>
        <v/>
      </c>
      <c r="AC97" s="119" t="str">
        <f t="shared" si="122"/>
        <v/>
      </c>
      <c r="AD97" s="117" t="str">
        <f t="shared" si="126"/>
        <v/>
      </c>
      <c r="AE97" s="120" t="str">
        <f t="shared" ref="AE97:AE98" si="127">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20"/>
      <c r="B98" s="139"/>
      <c r="C98" s="139"/>
      <c r="D98" s="221"/>
      <c r="E98" s="211"/>
      <c r="F98" s="141"/>
      <c r="G98" s="221"/>
      <c r="H98" s="140"/>
      <c r="I98" s="222"/>
      <c r="J98" s="218"/>
      <c r="K98" s="217"/>
      <c r="L98" s="216"/>
      <c r="M98" s="217">
        <f t="shared" ca="1" si="118"/>
        <v>0</v>
      </c>
      <c r="N98" s="218"/>
      <c r="O98" s="217"/>
      <c r="P98" s="219"/>
      <c r="Q98" s="113">
        <v>6</v>
      </c>
      <c r="R98" s="114"/>
      <c r="S98" s="115" t="str">
        <f t="shared" si="124"/>
        <v/>
      </c>
      <c r="T98" s="116"/>
      <c r="U98" s="116"/>
      <c r="V98" s="117" t="str">
        <f t="shared" si="119"/>
        <v/>
      </c>
      <c r="W98" s="116"/>
      <c r="X98" s="116"/>
      <c r="Y98" s="116"/>
      <c r="Z98" s="118" t="str">
        <f t="shared" si="125"/>
        <v/>
      </c>
      <c r="AA98" s="119" t="str">
        <f t="shared" si="120"/>
        <v/>
      </c>
      <c r="AB98" s="117" t="str">
        <f t="shared" si="121"/>
        <v/>
      </c>
      <c r="AC98" s="119" t="str">
        <f t="shared" si="122"/>
        <v/>
      </c>
      <c r="AD98" s="117" t="str">
        <f t="shared" si="126"/>
        <v/>
      </c>
      <c r="AE98" s="120" t="str">
        <f t="shared" si="127"/>
        <v/>
      </c>
      <c r="AF98" s="116"/>
      <c r="AG98" s="121"/>
      <c r="AH98" s="122"/>
      <c r="AI98" s="123"/>
      <c r="AJ98" s="123"/>
      <c r="AK98" s="121"/>
      <c r="AL98" s="122"/>
    </row>
    <row r="99" spans="1:38" x14ac:dyDescent="0.3">
      <c r="A99" s="220">
        <v>6</v>
      </c>
      <c r="B99" s="139"/>
      <c r="C99" s="139"/>
      <c r="D99" s="221"/>
      <c r="E99" s="211"/>
      <c r="F99" s="141"/>
      <c r="G99" s="221"/>
      <c r="H99" s="140"/>
      <c r="I99" s="222"/>
      <c r="J99" s="218" t="str">
        <f>IF(I99&lt;=0,"",IF(I99&lt;=2,"Muy Baja",IF(I99&lt;=24,"Baja",IF(I99&lt;=500,"Media",IF(I99&lt;=5000,"Alta","Muy Alta")))))</f>
        <v/>
      </c>
      <c r="K99" s="217" t="str">
        <f>IF(J99="","",IF(J99="Muy Baja",0.2,IF(J99="Baja",0.4,IF(J99="Media",0.6,IF(J99="Alta",0.8,IF(J99="Muy Alta",1,))))))</f>
        <v/>
      </c>
      <c r="L99" s="216"/>
      <c r="M99" s="217">
        <f>IF(NOT(ISERROR(MATCH(L99,'Tabla Impacto'!$B$221:$B$223,0))),'Tabla Impacto'!$F$223&amp;"Por favor no seleccionar los criterios de impacto(Afectación Económica o presupuestal y Pérdida Reputacional)",L99)</f>
        <v>0</v>
      </c>
      <c r="N99" s="218" t="str">
        <f>IF(OR(M99='Tabla Impacto'!$C$11,M99='Tabla Impacto'!$D$11),"Leve",IF(OR(M99='Tabla Impacto'!$C$12,M99='Tabla Impacto'!$D$12),"Menor",IF(OR(M99='Tabla Impacto'!$C$13,M99='Tabla Impacto'!$D$13),"Moderado",IF(OR(M99='Tabla Impacto'!$C$14,M99='Tabla Impacto'!$D$14),"Mayor",IF(OR(M99='Tabla Impacto'!$C$15,M99='Tabla Impacto'!$D$15),"Catastrófico","")))))</f>
        <v/>
      </c>
      <c r="O99" s="217" t="str">
        <f>IF(N99="","",IF(N99="Leve",0.2,IF(N99="Menor",0.4,IF(N99="Moderado",0.6,IF(N99="Mayor",0.8,IF(N99="Catastrófico",1,))))))</f>
        <v/>
      </c>
      <c r="P99" s="219" t="str">
        <f>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20"/>
      <c r="B100" s="139"/>
      <c r="C100" s="139"/>
      <c r="D100" s="221"/>
      <c r="E100" s="211"/>
      <c r="F100" s="141"/>
      <c r="G100" s="221"/>
      <c r="H100" s="140"/>
      <c r="I100" s="222"/>
      <c r="J100" s="218"/>
      <c r="K100" s="217"/>
      <c r="L100" s="216"/>
      <c r="M100" s="217">
        <f t="shared" ref="M100:M104" ca="1" si="128">IF(NOT(ISERROR(MATCH(L100,_xlfn.ANCHORARRAY(E111),0))),K113&amp;"Por favor no seleccionar los criterios de impacto",L100)</f>
        <v>0</v>
      </c>
      <c r="N100" s="218"/>
      <c r="O100" s="217"/>
      <c r="P100" s="219"/>
      <c r="Q100" s="113">
        <v>2</v>
      </c>
      <c r="R100" s="114"/>
      <c r="S100" s="115" t="str">
        <f>IF(OR(T100="Preventivo",T100="Detectivo"),"Probabilidad",IF(T100="Correctivo","Impacto",""))</f>
        <v/>
      </c>
      <c r="T100" s="116"/>
      <c r="U100" s="116"/>
      <c r="V100" s="117" t="str">
        <f t="shared" ref="V100:V104" si="129">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30">IFERROR(IF(Z100="","",IF(Z100&lt;=0.2,"Muy Baja",IF(Z100&lt;=0.4,"Baja",IF(Z100&lt;=0.6,"Media",IF(Z100&lt;=0.8,"Alta","Muy Alta"))))),"")</f>
        <v/>
      </c>
      <c r="AB100" s="117" t="str">
        <f t="shared" ref="AB100:AB104" si="131">+Z100</f>
        <v/>
      </c>
      <c r="AC100" s="119" t="str">
        <f t="shared" ref="AC100:AC103" si="132">IFERROR(IF(AD100="","",IF(AD100&lt;=0.2,"Leve",IF(AD100&lt;=0.4,"Menor",IF(AD100&lt;=0.6,"Moderado",IF(AD100&lt;=0.8,"Mayor","Catastrófico"))))),"")</f>
        <v/>
      </c>
      <c r="AD100" s="117" t="str">
        <f>IFERROR(IF(AND(S99="Impacto",S100="Impacto"),(AD93-(+AD93*V100)),IF(S100="Impacto",($O$39-(+$O$39*V100)),IF(S100="Probabilidad",AD93,""))),"")</f>
        <v/>
      </c>
      <c r="AE100" s="120" t="str">
        <f t="shared" ref="AE100:AE101" si="133">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20"/>
      <c r="B101" s="139"/>
      <c r="C101" s="139"/>
      <c r="D101" s="221"/>
      <c r="E101" s="211"/>
      <c r="F101" s="141"/>
      <c r="G101" s="221"/>
      <c r="H101" s="140"/>
      <c r="I101" s="222"/>
      <c r="J101" s="218"/>
      <c r="K101" s="217"/>
      <c r="L101" s="216"/>
      <c r="M101" s="217">
        <f t="shared" ca="1" si="128"/>
        <v>0</v>
      </c>
      <c r="N101" s="218"/>
      <c r="O101" s="217"/>
      <c r="P101" s="219"/>
      <c r="Q101" s="113">
        <v>3</v>
      </c>
      <c r="R101" s="126"/>
      <c r="S101" s="115" t="str">
        <f>IF(OR(T101="Preventivo",T101="Detectivo"),"Probabilidad",IF(T101="Correctivo","Impacto",""))</f>
        <v/>
      </c>
      <c r="T101" s="116"/>
      <c r="U101" s="116"/>
      <c r="V101" s="117" t="str">
        <f t="shared" si="129"/>
        <v/>
      </c>
      <c r="W101" s="116"/>
      <c r="X101" s="116"/>
      <c r="Y101" s="116"/>
      <c r="Z101" s="118" t="str">
        <f>IFERROR(IF(AND(S100="Probabilidad",S101="Probabilidad"),(AB100-(+AB100*V101)),IF(AND(S100="Impacto",S101="Probabilidad"),(AB99-(+AB99*V101)),IF(S101="Impacto",AB100,""))),"")</f>
        <v/>
      </c>
      <c r="AA101" s="119" t="str">
        <f t="shared" si="130"/>
        <v/>
      </c>
      <c r="AB101" s="117" t="str">
        <f t="shared" si="131"/>
        <v/>
      </c>
      <c r="AC101" s="119" t="str">
        <f t="shared" si="132"/>
        <v/>
      </c>
      <c r="AD101" s="117" t="str">
        <f>IFERROR(IF(AND(S100="Impacto",S101="Impacto"),(AD100-(+AD100*V101)),IF(AND(S100="Probabilidad",S101="Impacto"),(AD99-(+AD99*V101)),IF(S101="Probabilidad",AD100,""))),"")</f>
        <v/>
      </c>
      <c r="AE101" s="120" t="str">
        <f t="shared" si="133"/>
        <v/>
      </c>
      <c r="AF101" s="116"/>
      <c r="AG101" s="121"/>
      <c r="AH101" s="122"/>
      <c r="AI101" s="123"/>
      <c r="AJ101" s="123"/>
      <c r="AK101" s="121"/>
      <c r="AL101" s="122"/>
    </row>
    <row r="102" spans="1:38" x14ac:dyDescent="0.3">
      <c r="A102" s="220"/>
      <c r="B102" s="139"/>
      <c r="C102" s="139"/>
      <c r="D102" s="221"/>
      <c r="E102" s="211"/>
      <c r="F102" s="141"/>
      <c r="G102" s="221"/>
      <c r="H102" s="140"/>
      <c r="I102" s="222"/>
      <c r="J102" s="218"/>
      <c r="K102" s="217"/>
      <c r="L102" s="216"/>
      <c r="M102" s="217">
        <f t="shared" ca="1" si="128"/>
        <v>0</v>
      </c>
      <c r="N102" s="218"/>
      <c r="O102" s="217"/>
      <c r="P102" s="219"/>
      <c r="Q102" s="113">
        <v>4</v>
      </c>
      <c r="R102" s="114"/>
      <c r="S102" s="115" t="str">
        <f t="shared" ref="S102:S104" si="134">IF(OR(T102="Preventivo",T102="Detectivo"),"Probabilidad",IF(T102="Correctivo","Impacto",""))</f>
        <v/>
      </c>
      <c r="T102" s="116"/>
      <c r="U102" s="116"/>
      <c r="V102" s="117" t="str">
        <f t="shared" si="129"/>
        <v/>
      </c>
      <c r="W102" s="116"/>
      <c r="X102" s="116"/>
      <c r="Y102" s="116"/>
      <c r="Z102" s="118" t="str">
        <f t="shared" ref="Z102:Z104" si="135">IFERROR(IF(AND(S101="Probabilidad",S102="Probabilidad"),(AB101-(+AB101*V102)),IF(AND(S101="Impacto",S102="Probabilidad"),(AB100-(+AB100*V102)),IF(S102="Impacto",AB101,""))),"")</f>
        <v/>
      </c>
      <c r="AA102" s="119" t="str">
        <f t="shared" si="130"/>
        <v/>
      </c>
      <c r="AB102" s="117" t="str">
        <f t="shared" si="131"/>
        <v/>
      </c>
      <c r="AC102" s="119" t="str">
        <f t="shared" si="132"/>
        <v/>
      </c>
      <c r="AD102" s="117" t="str">
        <f t="shared" ref="AD102:AD104" si="136">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20"/>
      <c r="B103" s="139"/>
      <c r="C103" s="139"/>
      <c r="D103" s="221"/>
      <c r="E103" s="211"/>
      <c r="F103" s="141"/>
      <c r="G103" s="221"/>
      <c r="H103" s="140"/>
      <c r="I103" s="222"/>
      <c r="J103" s="218"/>
      <c r="K103" s="217"/>
      <c r="L103" s="216"/>
      <c r="M103" s="217">
        <f t="shared" ca="1" si="128"/>
        <v>0</v>
      </c>
      <c r="N103" s="218"/>
      <c r="O103" s="217"/>
      <c r="P103" s="219"/>
      <c r="Q103" s="113">
        <v>5</v>
      </c>
      <c r="R103" s="114"/>
      <c r="S103" s="115" t="str">
        <f t="shared" si="134"/>
        <v/>
      </c>
      <c r="T103" s="116"/>
      <c r="U103" s="116"/>
      <c r="V103" s="117" t="str">
        <f t="shared" si="129"/>
        <v/>
      </c>
      <c r="W103" s="116"/>
      <c r="X103" s="116"/>
      <c r="Y103" s="116"/>
      <c r="Z103" s="118" t="str">
        <f t="shared" si="135"/>
        <v/>
      </c>
      <c r="AA103" s="119" t="str">
        <f t="shared" si="130"/>
        <v/>
      </c>
      <c r="AB103" s="117" t="str">
        <f t="shared" si="131"/>
        <v/>
      </c>
      <c r="AC103" s="119" t="str">
        <f t="shared" si="132"/>
        <v/>
      </c>
      <c r="AD103" s="117" t="str">
        <f t="shared" si="136"/>
        <v/>
      </c>
      <c r="AE103" s="120" t="str">
        <f t="shared" ref="AE103" si="137">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20"/>
      <c r="B104" s="139"/>
      <c r="C104" s="139"/>
      <c r="D104" s="221"/>
      <c r="E104" s="211"/>
      <c r="F104" s="141"/>
      <c r="G104" s="221"/>
      <c r="H104" s="140"/>
      <c r="I104" s="222"/>
      <c r="J104" s="218"/>
      <c r="K104" s="217"/>
      <c r="L104" s="216"/>
      <c r="M104" s="217">
        <f t="shared" ca="1" si="128"/>
        <v>0</v>
      </c>
      <c r="N104" s="218"/>
      <c r="O104" s="217"/>
      <c r="P104" s="219"/>
      <c r="Q104" s="113">
        <v>6</v>
      </c>
      <c r="R104" s="114"/>
      <c r="S104" s="115" t="str">
        <f t="shared" si="134"/>
        <v/>
      </c>
      <c r="T104" s="116"/>
      <c r="U104" s="116"/>
      <c r="V104" s="117" t="str">
        <f t="shared" si="129"/>
        <v/>
      </c>
      <c r="W104" s="116"/>
      <c r="X104" s="116"/>
      <c r="Y104" s="116"/>
      <c r="Z104" s="118" t="str">
        <f t="shared" si="135"/>
        <v/>
      </c>
      <c r="AA104" s="119" t="str">
        <f t="shared" si="130"/>
        <v/>
      </c>
      <c r="AB104" s="117" t="str">
        <f t="shared" si="131"/>
        <v/>
      </c>
      <c r="AC104" s="119" t="str">
        <f>IFERROR(IF(AD104="","",IF(AD104&lt;=0.2,"Leve",IF(AD104&lt;=0.4,"Menor",IF(AD104&lt;=0.6,"Moderado",IF(AD104&lt;=0.8,"Mayor","Catastrófico"))))),"")</f>
        <v/>
      </c>
      <c r="AD104" s="117" t="str">
        <f t="shared" si="136"/>
        <v/>
      </c>
      <c r="AE104" s="120" t="str">
        <f>IFERROR(IF(OR(AND(AA104="Muy Baja",AC104="Leve"),AND(AA104="Muy Baja",AC104="Menor"),AND(AA104="Baja",AC104="Leve")),"Bajo",IF(OR(AND(AA104="Muy baja",AC104="Moderado"),AND(AA104="Baja",AC104="Menor"),AND(AA104="Baja",AC104="Moderado"),AND(AA104="Media",AC104="Leve"),AND(AA104="Media",AC104="Menor"),AND(AA104="Media",AC104="Moderado"),AND(AA104="Alta",AC104="Leve"),AND(AA104="Alta",AC104="Menor")),"Moderado",IF(OR(AND(AA104="Muy Baja",AC104="Mayor"),AND(AA104="Baja",AC104="Mayor"),AND(AA104="Media",AC104="Mayor"),AND(AA104="Alta",AC104="Moderado"),AND(AA104="Alta",AC104="Mayor"),AND(AA104="Muy Alta",AC104="Leve"),AND(AA104="Muy Alta",AC104="Menor"),AND(AA104="Muy Alta",AC104="Moderado"),AND(AA104="Muy Alta",AC104="Mayor")),"Alto",IF(OR(AND(AA104="Muy Baja",AC104="Catastrófico"),AND(AA104="Baja",AC104="Catastrófico"),AND(AA104="Media",AC104="Catastrófico"),AND(AA104="Alta",AC104="Catastrófico"),AND(AA104="Muy Alta",AC104="Catastrófico")),"Extremo","")))),"")</f>
        <v/>
      </c>
      <c r="AF104" s="116"/>
      <c r="AG104" s="121"/>
      <c r="AH104" s="122"/>
      <c r="AI104" s="123"/>
      <c r="AJ104" s="123"/>
      <c r="AK104" s="121"/>
      <c r="AL104" s="122"/>
    </row>
    <row r="105" spans="1:38" x14ac:dyDescent="0.3">
      <c r="A105" s="220">
        <v>7</v>
      </c>
      <c r="B105" s="139"/>
      <c r="C105" s="139"/>
      <c r="D105" s="221"/>
      <c r="E105" s="211"/>
      <c r="F105" s="141"/>
      <c r="G105" s="221"/>
      <c r="H105" s="140"/>
      <c r="I105" s="222"/>
      <c r="J105" s="218" t="str">
        <f>IF(I105&lt;=0,"",IF(I105&lt;=2,"Muy Baja",IF(I105&lt;=24,"Baja",IF(I105&lt;=500,"Media",IF(I105&lt;=5000,"Alta","Muy Alta")))))</f>
        <v/>
      </c>
      <c r="K105" s="217" t="str">
        <f>IF(J105="","",IF(J105="Muy Baja",0.2,IF(J105="Baja",0.4,IF(J105="Media",0.6,IF(J105="Alta",0.8,IF(J105="Muy Alta",1,))))))</f>
        <v/>
      </c>
      <c r="L105" s="216"/>
      <c r="M105" s="217">
        <f>IF(NOT(ISERROR(MATCH(L105,'Tabla Impacto'!$B$221:$B$223,0))),'Tabla Impacto'!$F$223&amp;"Por favor no seleccionar los criterios de impacto(Afectación Económica o presupuestal y Pérdida Reputacional)",L105)</f>
        <v>0</v>
      </c>
      <c r="N105" s="218" t="str">
        <f>IF(OR(M105='Tabla Impacto'!$C$11,M105='Tabla Impacto'!$D$11),"Leve",IF(OR(M105='Tabla Impacto'!$C$12,M105='Tabla Impacto'!$D$12),"Menor",IF(OR(M105='Tabla Impacto'!$C$13,M105='Tabla Impacto'!$D$13),"Moderado",IF(OR(M105='Tabla Impacto'!$C$14,M105='Tabla Impacto'!$D$14),"Mayor",IF(OR(M105='Tabla Impacto'!$C$15,M105='Tabla Impacto'!$D$15),"Catastrófico","")))))</f>
        <v/>
      </c>
      <c r="O105" s="217" t="str">
        <f>IF(N105="","",IF(N105="Leve",0.2,IF(N105="Menor",0.4,IF(N105="Moderado",0.6,IF(N105="Mayor",0.8,IF(N105="Catastrófico",1,))))))</f>
        <v/>
      </c>
      <c r="P105" s="219" t="str">
        <f>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20"/>
      <c r="B106" s="139"/>
      <c r="C106" s="139"/>
      <c r="D106" s="221"/>
      <c r="E106" s="211"/>
      <c r="F106" s="141"/>
      <c r="G106" s="221"/>
      <c r="H106" s="140"/>
      <c r="I106" s="222"/>
      <c r="J106" s="218"/>
      <c r="K106" s="217"/>
      <c r="L106" s="216"/>
      <c r="M106" s="217">
        <f t="shared" ref="M106:M110" ca="1" si="138">IF(NOT(ISERROR(MATCH(L106,_xlfn.ANCHORARRAY(E117),0))),K119&amp;"Por favor no seleccionar los criterios de impacto",L106)</f>
        <v>0</v>
      </c>
      <c r="N106" s="218"/>
      <c r="O106" s="217"/>
      <c r="P106" s="219"/>
      <c r="Q106" s="113">
        <v>2</v>
      </c>
      <c r="R106" s="114"/>
      <c r="S106" s="115" t="str">
        <f>IF(OR(T106="Preventivo",T106="Detectivo"),"Probabilidad",IF(T106="Correctivo","Impacto",""))</f>
        <v/>
      </c>
      <c r="T106" s="116"/>
      <c r="U106" s="116"/>
      <c r="V106" s="117" t="str">
        <f t="shared" ref="V106:V110" si="139">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40">IFERROR(IF(Z106="","",IF(Z106&lt;=0.2,"Muy Baja",IF(Z106&lt;=0.4,"Baja",IF(Z106&lt;=0.6,"Media",IF(Z106&lt;=0.8,"Alta","Muy Alta"))))),"")</f>
        <v/>
      </c>
      <c r="AB106" s="117" t="str">
        <f t="shared" ref="AB106:AB110" si="141">+Z106</f>
        <v/>
      </c>
      <c r="AC106" s="119" t="str">
        <f t="shared" ref="AC106:AC110" si="142">IFERROR(IF(AD106="","",IF(AD106&lt;=0.2,"Leve",IF(AD106&lt;=0.4,"Menor",IF(AD106&lt;=0.6,"Moderado",IF(AD106&lt;=0.8,"Mayor","Catastrófico"))))),"")</f>
        <v/>
      </c>
      <c r="AD106" s="117" t="str">
        <f>IFERROR(IF(AND(S105="Impacto",S106="Impacto"),(AD99-(+AD99*V106)),IF(S106="Impacto",($O$45-(+$O$45*V106)),IF(S106="Probabilidad",AD99,""))),"")</f>
        <v/>
      </c>
      <c r="AE106" s="120" t="str">
        <f t="shared" ref="AE106:AE107" si="143">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20"/>
      <c r="B107" s="139"/>
      <c r="C107" s="139"/>
      <c r="D107" s="221"/>
      <c r="E107" s="211"/>
      <c r="F107" s="141"/>
      <c r="G107" s="221"/>
      <c r="H107" s="140"/>
      <c r="I107" s="222"/>
      <c r="J107" s="218"/>
      <c r="K107" s="217"/>
      <c r="L107" s="216"/>
      <c r="M107" s="217">
        <f t="shared" ca="1" si="138"/>
        <v>0</v>
      </c>
      <c r="N107" s="218"/>
      <c r="O107" s="217"/>
      <c r="P107" s="219"/>
      <c r="Q107" s="113">
        <v>3</v>
      </c>
      <c r="R107" s="126"/>
      <c r="S107" s="115" t="str">
        <f>IF(OR(T107="Preventivo",T107="Detectivo"),"Probabilidad",IF(T107="Correctivo","Impacto",""))</f>
        <v/>
      </c>
      <c r="T107" s="116"/>
      <c r="U107" s="116"/>
      <c r="V107" s="117" t="str">
        <f t="shared" si="139"/>
        <v/>
      </c>
      <c r="W107" s="116"/>
      <c r="X107" s="116"/>
      <c r="Y107" s="116"/>
      <c r="Z107" s="118" t="str">
        <f>IFERROR(IF(AND(S106="Probabilidad",S107="Probabilidad"),(AB106-(+AB106*V107)),IF(AND(S106="Impacto",S107="Probabilidad"),(AB105-(+AB105*V107)),IF(S107="Impacto",AB106,""))),"")</f>
        <v/>
      </c>
      <c r="AA107" s="119" t="str">
        <f t="shared" si="140"/>
        <v/>
      </c>
      <c r="AB107" s="117" t="str">
        <f t="shared" si="141"/>
        <v/>
      </c>
      <c r="AC107" s="119" t="str">
        <f t="shared" si="142"/>
        <v/>
      </c>
      <c r="AD107" s="117" t="str">
        <f>IFERROR(IF(AND(S106="Impacto",S107="Impacto"),(AD106-(+AD106*V107)),IF(AND(S106="Probabilidad",S107="Impacto"),(AD105-(+AD105*V107)),IF(S107="Probabilidad",AD106,""))),"")</f>
        <v/>
      </c>
      <c r="AE107" s="120" t="str">
        <f t="shared" si="143"/>
        <v/>
      </c>
      <c r="AF107" s="116"/>
      <c r="AG107" s="121"/>
      <c r="AH107" s="122"/>
      <c r="AI107" s="123"/>
      <c r="AJ107" s="123"/>
      <c r="AK107" s="121"/>
      <c r="AL107" s="122"/>
    </row>
    <row r="108" spans="1:38" x14ac:dyDescent="0.3">
      <c r="A108" s="220"/>
      <c r="B108" s="139"/>
      <c r="C108" s="139"/>
      <c r="D108" s="221"/>
      <c r="E108" s="211"/>
      <c r="F108" s="141"/>
      <c r="G108" s="221"/>
      <c r="H108" s="140"/>
      <c r="I108" s="222"/>
      <c r="J108" s="218"/>
      <c r="K108" s="217"/>
      <c r="L108" s="216"/>
      <c r="M108" s="217">
        <f t="shared" ca="1" si="138"/>
        <v>0</v>
      </c>
      <c r="N108" s="218"/>
      <c r="O108" s="217"/>
      <c r="P108" s="219"/>
      <c r="Q108" s="113">
        <v>4</v>
      </c>
      <c r="R108" s="114"/>
      <c r="S108" s="115" t="str">
        <f t="shared" ref="S108:S110" si="144">IF(OR(T108="Preventivo",T108="Detectivo"),"Probabilidad",IF(T108="Correctivo","Impacto",""))</f>
        <v/>
      </c>
      <c r="T108" s="116"/>
      <c r="U108" s="116"/>
      <c r="V108" s="117" t="str">
        <f t="shared" si="139"/>
        <v/>
      </c>
      <c r="W108" s="116"/>
      <c r="X108" s="116"/>
      <c r="Y108" s="116"/>
      <c r="Z108" s="118" t="str">
        <f t="shared" ref="Z108:Z110" si="145">IFERROR(IF(AND(S107="Probabilidad",S108="Probabilidad"),(AB107-(+AB107*V108)),IF(AND(S107="Impacto",S108="Probabilidad"),(AB106-(+AB106*V108)),IF(S108="Impacto",AB107,""))),"")</f>
        <v/>
      </c>
      <c r="AA108" s="119" t="str">
        <f t="shared" si="140"/>
        <v/>
      </c>
      <c r="AB108" s="117" t="str">
        <f t="shared" si="141"/>
        <v/>
      </c>
      <c r="AC108" s="119" t="str">
        <f t="shared" si="142"/>
        <v/>
      </c>
      <c r="AD108" s="117" t="str">
        <f t="shared" ref="AD108:AD110" si="146">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20"/>
      <c r="B109" s="139"/>
      <c r="C109" s="139"/>
      <c r="D109" s="221"/>
      <c r="E109" s="211"/>
      <c r="F109" s="141"/>
      <c r="G109" s="221"/>
      <c r="H109" s="140"/>
      <c r="I109" s="222"/>
      <c r="J109" s="218"/>
      <c r="K109" s="217"/>
      <c r="L109" s="216"/>
      <c r="M109" s="217">
        <f t="shared" ca="1" si="138"/>
        <v>0</v>
      </c>
      <c r="N109" s="218"/>
      <c r="O109" s="217"/>
      <c r="P109" s="219"/>
      <c r="Q109" s="113">
        <v>5</v>
      </c>
      <c r="R109" s="114"/>
      <c r="S109" s="115" t="str">
        <f t="shared" si="144"/>
        <v/>
      </c>
      <c r="T109" s="116"/>
      <c r="U109" s="116"/>
      <c r="V109" s="117" t="str">
        <f t="shared" si="139"/>
        <v/>
      </c>
      <c r="W109" s="116"/>
      <c r="X109" s="116"/>
      <c r="Y109" s="116"/>
      <c r="Z109" s="118" t="str">
        <f t="shared" si="145"/>
        <v/>
      </c>
      <c r="AA109" s="119" t="str">
        <f t="shared" si="140"/>
        <v/>
      </c>
      <c r="AB109" s="117" t="str">
        <f t="shared" si="141"/>
        <v/>
      </c>
      <c r="AC109" s="119" t="str">
        <f t="shared" si="142"/>
        <v/>
      </c>
      <c r="AD109" s="117" t="str">
        <f t="shared" si="146"/>
        <v/>
      </c>
      <c r="AE109" s="120" t="str">
        <f t="shared" ref="AE109:AE110" si="147">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20"/>
      <c r="B110" s="139"/>
      <c r="C110" s="139"/>
      <c r="D110" s="221"/>
      <c r="E110" s="211"/>
      <c r="F110" s="141"/>
      <c r="G110" s="221"/>
      <c r="H110" s="140"/>
      <c r="I110" s="222"/>
      <c r="J110" s="218"/>
      <c r="K110" s="217"/>
      <c r="L110" s="216"/>
      <c r="M110" s="217">
        <f t="shared" ca="1" si="138"/>
        <v>0</v>
      </c>
      <c r="N110" s="218"/>
      <c r="O110" s="217"/>
      <c r="P110" s="219"/>
      <c r="Q110" s="113">
        <v>6</v>
      </c>
      <c r="R110" s="114"/>
      <c r="S110" s="115" t="str">
        <f t="shared" si="144"/>
        <v/>
      </c>
      <c r="T110" s="116"/>
      <c r="U110" s="116"/>
      <c r="V110" s="117" t="str">
        <f t="shared" si="139"/>
        <v/>
      </c>
      <c r="W110" s="116"/>
      <c r="X110" s="116"/>
      <c r="Y110" s="116"/>
      <c r="Z110" s="118" t="str">
        <f t="shared" si="145"/>
        <v/>
      </c>
      <c r="AA110" s="119" t="str">
        <f t="shared" si="140"/>
        <v/>
      </c>
      <c r="AB110" s="117" t="str">
        <f t="shared" si="141"/>
        <v/>
      </c>
      <c r="AC110" s="119" t="str">
        <f t="shared" si="142"/>
        <v/>
      </c>
      <c r="AD110" s="117" t="str">
        <f t="shared" si="146"/>
        <v/>
      </c>
      <c r="AE110" s="120" t="str">
        <f t="shared" si="147"/>
        <v/>
      </c>
      <c r="AF110" s="116"/>
      <c r="AG110" s="121"/>
      <c r="AH110" s="122"/>
      <c r="AI110" s="123"/>
      <c r="AJ110" s="123"/>
      <c r="AK110" s="121"/>
      <c r="AL110" s="122"/>
    </row>
    <row r="111" spans="1:38" x14ac:dyDescent="0.3">
      <c r="A111" s="220">
        <v>8</v>
      </c>
      <c r="B111" s="139"/>
      <c r="C111" s="139"/>
      <c r="D111" s="221"/>
      <c r="E111" s="211"/>
      <c r="F111" s="141"/>
      <c r="G111" s="221"/>
      <c r="H111" s="140"/>
      <c r="I111" s="222"/>
      <c r="J111" s="218" t="str">
        <f>IF(I111&lt;=0,"",IF(I111&lt;=2,"Muy Baja",IF(I111&lt;=24,"Baja",IF(I111&lt;=500,"Media",IF(I111&lt;=5000,"Alta","Muy Alta")))))</f>
        <v/>
      </c>
      <c r="K111" s="217" t="str">
        <f>IF(J111="","",IF(J111="Muy Baja",0.2,IF(J111="Baja",0.4,IF(J111="Media",0.6,IF(J111="Alta",0.8,IF(J111="Muy Alta",1,))))))</f>
        <v/>
      </c>
      <c r="L111" s="216"/>
      <c r="M111" s="217">
        <f>IF(NOT(ISERROR(MATCH(L111,'Tabla Impacto'!$B$221:$B$223,0))),'Tabla Impacto'!$F$223&amp;"Por favor no seleccionar los criterios de impacto(Afectación Económica o presupuestal y Pérdida Reputacional)",L111)</f>
        <v>0</v>
      </c>
      <c r="N111" s="218" t="str">
        <f>IF(OR(M111='Tabla Impacto'!$C$11,M111='Tabla Impacto'!$D$11),"Leve",IF(OR(M111='Tabla Impacto'!$C$12,M111='Tabla Impacto'!$D$12),"Menor",IF(OR(M111='Tabla Impacto'!$C$13,M111='Tabla Impacto'!$D$13),"Moderado",IF(OR(M111='Tabla Impacto'!$C$14,M111='Tabla Impacto'!$D$14),"Mayor",IF(OR(M111='Tabla Impacto'!$C$15,M111='Tabla Impacto'!$D$15),"Catastrófico","")))))</f>
        <v/>
      </c>
      <c r="O111" s="217" t="str">
        <f>IF(N111="","",IF(N111="Leve",0.2,IF(N111="Menor",0.4,IF(N111="Moderado",0.6,IF(N111="Mayor",0.8,IF(N111="Catastrófico",1,))))))</f>
        <v/>
      </c>
      <c r="P111" s="219" t="str">
        <f>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20"/>
      <c r="B112" s="139"/>
      <c r="C112" s="139"/>
      <c r="D112" s="221"/>
      <c r="E112" s="211"/>
      <c r="F112" s="141"/>
      <c r="G112" s="221"/>
      <c r="H112" s="140"/>
      <c r="I112" s="222"/>
      <c r="J112" s="218"/>
      <c r="K112" s="217"/>
      <c r="L112" s="216"/>
      <c r="M112" s="217">
        <f ca="1">IF(NOT(ISERROR(MATCH(L112,_xlfn.ANCHORARRAY(E123),0))),K125&amp;"Por favor no seleccionar los criterios de impacto",L112)</f>
        <v>0</v>
      </c>
      <c r="N112" s="218"/>
      <c r="O112" s="217"/>
      <c r="P112" s="219"/>
      <c r="Q112" s="113">
        <v>2</v>
      </c>
      <c r="R112" s="114"/>
      <c r="S112" s="115" t="str">
        <f>IF(OR(T112="Preventivo",T112="Detectivo"),"Probabilidad",IF(T112="Correctivo","Impacto",""))</f>
        <v/>
      </c>
      <c r="T112" s="116"/>
      <c r="U112" s="116"/>
      <c r="V112" s="117" t="str">
        <f t="shared" ref="V112:V116" si="148">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49">IFERROR(IF(Z112="","",IF(Z112&lt;=0.2,"Muy Baja",IF(Z112&lt;=0.4,"Baja",IF(Z112&lt;=0.6,"Media",IF(Z112&lt;=0.8,"Alta","Muy Alta"))))),"")</f>
        <v/>
      </c>
      <c r="AB112" s="117" t="str">
        <f t="shared" ref="AB112:AB116" si="150">+Z112</f>
        <v/>
      </c>
      <c r="AC112" s="119" t="str">
        <f t="shared" ref="AC112:AC116" si="151">IFERROR(IF(AD112="","",IF(AD112&lt;=0.2,"Leve",IF(AD112&lt;=0.4,"Menor",IF(AD112&lt;=0.6,"Moderado",IF(AD112&lt;=0.8,"Mayor","Catastrófico"))))),"")</f>
        <v/>
      </c>
      <c r="AD112" s="117" t="str">
        <f>IFERROR(IF(AND(S111="Impacto",S112="Impacto"),(AD105-(+AD105*V112)),IF(S112="Impacto",($O$51-(+$O$51*V112)),IF(S112="Probabilidad",AD105,""))),"")</f>
        <v/>
      </c>
      <c r="AE112" s="120" t="str">
        <f t="shared" ref="AE112:AE113" si="152">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20"/>
      <c r="B113" s="139"/>
      <c r="C113" s="139"/>
      <c r="D113" s="221"/>
      <c r="E113" s="211"/>
      <c r="F113" s="141"/>
      <c r="G113" s="221"/>
      <c r="H113" s="140"/>
      <c r="I113" s="222"/>
      <c r="J113" s="218"/>
      <c r="K113" s="217"/>
      <c r="L113" s="216"/>
      <c r="M113" s="217">
        <f ca="1">IF(NOT(ISERROR(MATCH(L113,_xlfn.ANCHORARRAY(E124),0))),K126&amp;"Por favor no seleccionar los criterios de impacto",L113)</f>
        <v>0</v>
      </c>
      <c r="N113" s="218"/>
      <c r="O113" s="217"/>
      <c r="P113" s="219"/>
      <c r="Q113" s="113">
        <v>3</v>
      </c>
      <c r="R113" s="126"/>
      <c r="S113" s="115" t="str">
        <f>IF(OR(T113="Preventivo",T113="Detectivo"),"Probabilidad",IF(T113="Correctivo","Impacto",""))</f>
        <v/>
      </c>
      <c r="T113" s="116"/>
      <c r="U113" s="116"/>
      <c r="V113" s="117" t="str">
        <f t="shared" si="148"/>
        <v/>
      </c>
      <c r="W113" s="116"/>
      <c r="X113" s="116"/>
      <c r="Y113" s="116"/>
      <c r="Z113" s="118" t="str">
        <f>IFERROR(IF(AND(S112="Probabilidad",S113="Probabilidad"),(AB112-(+AB112*V113)),IF(AND(S112="Impacto",S113="Probabilidad"),(AB111-(+AB111*V113)),IF(S113="Impacto",AB112,""))),"")</f>
        <v/>
      </c>
      <c r="AA113" s="119" t="str">
        <f t="shared" si="149"/>
        <v/>
      </c>
      <c r="AB113" s="117" t="str">
        <f t="shared" si="150"/>
        <v/>
      </c>
      <c r="AC113" s="119" t="str">
        <f t="shared" si="151"/>
        <v/>
      </c>
      <c r="AD113" s="117" t="str">
        <f>IFERROR(IF(AND(S112="Impacto",S113="Impacto"),(AD112-(+AD112*V113)),IF(AND(S112="Probabilidad",S113="Impacto"),(AD111-(+AD111*V113)),IF(S113="Probabilidad",AD112,""))),"")</f>
        <v/>
      </c>
      <c r="AE113" s="120" t="str">
        <f t="shared" si="152"/>
        <v/>
      </c>
      <c r="AF113" s="116"/>
      <c r="AG113" s="121"/>
      <c r="AH113" s="122"/>
      <c r="AI113" s="123"/>
      <c r="AJ113" s="123"/>
      <c r="AK113" s="121"/>
      <c r="AL113" s="122"/>
    </row>
    <row r="114" spans="1:38" x14ac:dyDescent="0.3">
      <c r="A114" s="220"/>
      <c r="B114" s="139"/>
      <c r="C114" s="139"/>
      <c r="D114" s="221"/>
      <c r="E114" s="211"/>
      <c r="F114" s="141"/>
      <c r="G114" s="221"/>
      <c r="H114" s="140"/>
      <c r="I114" s="222"/>
      <c r="J114" s="218"/>
      <c r="K114" s="217"/>
      <c r="L114" s="216"/>
      <c r="M114" s="217">
        <f ca="1">IF(NOT(ISERROR(MATCH(L114,_xlfn.ANCHORARRAY(E125),0))),K127&amp;"Por favor no seleccionar los criterios de impacto",L114)</f>
        <v>0</v>
      </c>
      <c r="N114" s="218"/>
      <c r="O114" s="217"/>
      <c r="P114" s="219"/>
      <c r="Q114" s="113">
        <v>4</v>
      </c>
      <c r="R114" s="114"/>
      <c r="S114" s="115" t="str">
        <f t="shared" ref="S114:S116" si="153">IF(OR(T114="Preventivo",T114="Detectivo"),"Probabilidad",IF(T114="Correctivo","Impacto",""))</f>
        <v/>
      </c>
      <c r="T114" s="116"/>
      <c r="U114" s="116"/>
      <c r="V114" s="117" t="str">
        <f t="shared" si="148"/>
        <v/>
      </c>
      <c r="W114" s="116"/>
      <c r="X114" s="116"/>
      <c r="Y114" s="116"/>
      <c r="Z114" s="118" t="str">
        <f t="shared" ref="Z114:Z116" si="154">IFERROR(IF(AND(S113="Probabilidad",S114="Probabilidad"),(AB113-(+AB113*V114)),IF(AND(S113="Impacto",S114="Probabilidad"),(AB112-(+AB112*V114)),IF(S114="Impacto",AB113,""))),"")</f>
        <v/>
      </c>
      <c r="AA114" s="119" t="str">
        <f t="shared" si="149"/>
        <v/>
      </c>
      <c r="AB114" s="117" t="str">
        <f t="shared" si="150"/>
        <v/>
      </c>
      <c r="AC114" s="119" t="str">
        <f t="shared" si="151"/>
        <v/>
      </c>
      <c r="AD114" s="117" t="str">
        <f t="shared" ref="AD114:AD116" si="155">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20"/>
      <c r="B115" s="139"/>
      <c r="C115" s="139"/>
      <c r="D115" s="221"/>
      <c r="E115" s="211"/>
      <c r="F115" s="141"/>
      <c r="G115" s="221"/>
      <c r="H115" s="140"/>
      <c r="I115" s="222"/>
      <c r="J115" s="218"/>
      <c r="K115" s="217"/>
      <c r="L115" s="216"/>
      <c r="M115" s="217">
        <f ca="1">IF(NOT(ISERROR(MATCH(L115,_xlfn.ANCHORARRAY(E126),0))),K128&amp;"Por favor no seleccionar los criterios de impacto",L115)</f>
        <v>0</v>
      </c>
      <c r="N115" s="218"/>
      <c r="O115" s="217"/>
      <c r="P115" s="219"/>
      <c r="Q115" s="113">
        <v>5</v>
      </c>
      <c r="R115" s="114"/>
      <c r="S115" s="115" t="str">
        <f t="shared" si="153"/>
        <v/>
      </c>
      <c r="T115" s="116"/>
      <c r="U115" s="116"/>
      <c r="V115" s="117" t="str">
        <f t="shared" si="148"/>
        <v/>
      </c>
      <c r="W115" s="116"/>
      <c r="X115" s="116"/>
      <c r="Y115" s="116"/>
      <c r="Z115" s="118" t="str">
        <f t="shared" si="154"/>
        <v/>
      </c>
      <c r="AA115" s="119" t="str">
        <f t="shared" si="149"/>
        <v/>
      </c>
      <c r="AB115" s="117" t="str">
        <f t="shared" si="150"/>
        <v/>
      </c>
      <c r="AC115" s="119" t="str">
        <f t="shared" si="151"/>
        <v/>
      </c>
      <c r="AD115" s="117" t="str">
        <f t="shared" si="155"/>
        <v/>
      </c>
      <c r="AE115" s="120" t="str">
        <f t="shared" ref="AE115:AE116" si="156">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20"/>
      <c r="B116" s="139"/>
      <c r="C116" s="139"/>
      <c r="D116" s="221"/>
      <c r="E116" s="211"/>
      <c r="F116" s="141"/>
      <c r="G116" s="221"/>
      <c r="H116" s="140"/>
      <c r="I116" s="222"/>
      <c r="J116" s="218"/>
      <c r="K116" s="217"/>
      <c r="L116" s="216"/>
      <c r="M116" s="217">
        <f ca="1">IF(NOT(ISERROR(MATCH(L116,_xlfn.ANCHORARRAY(E127),0))),K130&amp;"Por favor no seleccionar los criterios de impacto",L116)</f>
        <v>0</v>
      </c>
      <c r="N116" s="218"/>
      <c r="O116" s="217"/>
      <c r="P116" s="219"/>
      <c r="Q116" s="113">
        <v>6</v>
      </c>
      <c r="R116" s="114"/>
      <c r="S116" s="115" t="str">
        <f t="shared" si="153"/>
        <v/>
      </c>
      <c r="T116" s="116"/>
      <c r="U116" s="116"/>
      <c r="V116" s="117" t="str">
        <f t="shared" si="148"/>
        <v/>
      </c>
      <c r="W116" s="116"/>
      <c r="X116" s="116"/>
      <c r="Y116" s="116"/>
      <c r="Z116" s="118" t="str">
        <f t="shared" si="154"/>
        <v/>
      </c>
      <c r="AA116" s="119" t="str">
        <f t="shared" si="149"/>
        <v/>
      </c>
      <c r="AB116" s="117" t="str">
        <f t="shared" si="150"/>
        <v/>
      </c>
      <c r="AC116" s="119" t="str">
        <f t="shared" si="151"/>
        <v/>
      </c>
      <c r="AD116" s="117" t="str">
        <f t="shared" si="155"/>
        <v/>
      </c>
      <c r="AE116" s="120" t="str">
        <f t="shared" si="156"/>
        <v/>
      </c>
      <c r="AF116" s="116"/>
      <c r="AG116" s="121"/>
      <c r="AH116" s="122"/>
      <c r="AI116" s="123"/>
      <c r="AJ116" s="123"/>
      <c r="AK116" s="121"/>
      <c r="AL116" s="122"/>
    </row>
    <row r="117" spans="1:38" x14ac:dyDescent="0.3">
      <c r="A117" s="220">
        <v>9</v>
      </c>
      <c r="B117" s="139"/>
      <c r="C117" s="139"/>
      <c r="D117" s="221"/>
      <c r="E117" s="211"/>
      <c r="F117" s="141"/>
      <c r="G117" s="221"/>
      <c r="H117" s="140"/>
      <c r="I117" s="222"/>
      <c r="J117" s="218" t="str">
        <f>IF(I117&lt;=0,"",IF(I117&lt;=2,"Muy Baja",IF(I117&lt;=24,"Baja",IF(I117&lt;=500,"Media",IF(I117&lt;=5000,"Alta","Muy Alta")))))</f>
        <v/>
      </c>
      <c r="K117" s="217" t="str">
        <f>IF(J117="","",IF(J117="Muy Baja",0.2,IF(J117="Baja",0.4,IF(J117="Media",0.6,IF(J117="Alta",0.8,IF(J117="Muy Alta",1,))))))</f>
        <v/>
      </c>
      <c r="L117" s="216"/>
      <c r="M117" s="217">
        <f>IF(NOT(ISERROR(MATCH(L117,'Tabla Impacto'!$B$221:$B$223,0))),'Tabla Impacto'!$F$223&amp;"Por favor no seleccionar los criterios de impacto(Afectación Económica o presupuestal y Pérdida Reputacional)",L117)</f>
        <v>0</v>
      </c>
      <c r="N117" s="218" t="str">
        <f>IF(OR(M117='Tabla Impacto'!$C$11,M117='Tabla Impacto'!$D$11),"Leve",IF(OR(M117='Tabla Impacto'!$C$12,M117='Tabla Impacto'!$D$12),"Menor",IF(OR(M117='Tabla Impacto'!$C$13,M117='Tabla Impacto'!$D$13),"Moderado",IF(OR(M117='Tabla Impacto'!$C$14,M117='Tabla Impacto'!$D$14),"Mayor",IF(OR(M117='Tabla Impacto'!$C$15,M117='Tabla Impacto'!$D$15),"Catastrófico","")))))</f>
        <v/>
      </c>
      <c r="O117" s="217" t="str">
        <f>IF(N117="","",IF(N117="Leve",0.2,IF(N117="Menor",0.4,IF(N117="Moderado",0.6,IF(N117="Mayor",0.8,IF(N117="Catastrófico",1,))))))</f>
        <v/>
      </c>
      <c r="P117" s="219" t="str">
        <f>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20"/>
      <c r="B118" s="139"/>
      <c r="C118" s="139"/>
      <c r="D118" s="221"/>
      <c r="E118" s="211"/>
      <c r="F118" s="141"/>
      <c r="G118" s="221"/>
      <c r="H118" s="140"/>
      <c r="I118" s="222"/>
      <c r="J118" s="218"/>
      <c r="K118" s="217"/>
      <c r="L118" s="216"/>
      <c r="M118" s="217">
        <f ca="1">IF(NOT(ISERROR(MATCH(L118,_xlfn.ANCHORARRAY(E130),0))),K132&amp;"Por favor no seleccionar los criterios de impacto",L118)</f>
        <v>0</v>
      </c>
      <c r="N118" s="218"/>
      <c r="O118" s="217"/>
      <c r="P118" s="219"/>
      <c r="Q118" s="113">
        <v>2</v>
      </c>
      <c r="R118" s="114"/>
      <c r="S118" s="115" t="str">
        <f>IF(OR(T118="Preventivo",T118="Detectivo"),"Probabilidad",IF(T118="Correctivo","Impacto",""))</f>
        <v/>
      </c>
      <c r="T118" s="116"/>
      <c r="U118" s="116"/>
      <c r="V118" s="117" t="str">
        <f t="shared" ref="V118:V122" si="157">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58">IFERROR(IF(Z118="","",IF(Z118&lt;=0.2,"Muy Baja",IF(Z118&lt;=0.4,"Baja",IF(Z118&lt;=0.6,"Media",IF(Z118&lt;=0.8,"Alta","Muy Alta"))))),"")</f>
        <v/>
      </c>
      <c r="AB118" s="117" t="str">
        <f t="shared" ref="AB118:AB122" si="159">+Z118</f>
        <v/>
      </c>
      <c r="AC118" s="119" t="str">
        <f t="shared" ref="AC118:AC122" si="160">IFERROR(IF(AD118="","",IF(AD118&lt;=0.2,"Leve",IF(AD118&lt;=0.4,"Menor",IF(AD118&lt;=0.6,"Moderado",IF(AD118&lt;=0.8,"Mayor","Catastrófico"))))),"")</f>
        <v/>
      </c>
      <c r="AD118" s="117" t="str">
        <f>IFERROR(IF(AND(S117="Impacto",S118="Impacto"),(AD111-(+AD111*V118)),IF(S118="Impacto",($O$57-(+$O$57*V118)),IF(S118="Probabilidad",AD111,""))),"")</f>
        <v/>
      </c>
      <c r="AE118" s="120" t="str">
        <f t="shared" ref="AE118:AE119" si="161">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20"/>
      <c r="B119" s="139"/>
      <c r="C119" s="139"/>
      <c r="D119" s="221"/>
      <c r="E119" s="211"/>
      <c r="F119" s="141"/>
      <c r="G119" s="221"/>
      <c r="H119" s="140"/>
      <c r="I119" s="222"/>
      <c r="J119" s="218"/>
      <c r="K119" s="217"/>
      <c r="L119" s="216"/>
      <c r="M119" s="217">
        <f ca="1">IF(NOT(ISERROR(MATCH(L119,_xlfn.ANCHORARRAY(E131),0))),K133&amp;"Por favor no seleccionar los criterios de impacto",L119)</f>
        <v>0</v>
      </c>
      <c r="N119" s="218"/>
      <c r="O119" s="217"/>
      <c r="P119" s="219"/>
      <c r="Q119" s="113">
        <v>3</v>
      </c>
      <c r="R119" s="126"/>
      <c r="S119" s="115" t="str">
        <f>IF(OR(T119="Preventivo",T119="Detectivo"),"Probabilidad",IF(T119="Correctivo","Impacto",""))</f>
        <v/>
      </c>
      <c r="T119" s="116"/>
      <c r="U119" s="116"/>
      <c r="V119" s="117" t="str">
        <f t="shared" si="157"/>
        <v/>
      </c>
      <c r="W119" s="116"/>
      <c r="X119" s="116"/>
      <c r="Y119" s="116"/>
      <c r="Z119" s="118" t="str">
        <f>IFERROR(IF(AND(S118="Probabilidad",S119="Probabilidad"),(AB118-(+AB118*V119)),IF(AND(S118="Impacto",S119="Probabilidad"),(AB117-(+AB117*V119)),IF(S119="Impacto",AB118,""))),"")</f>
        <v/>
      </c>
      <c r="AA119" s="119" t="str">
        <f t="shared" si="158"/>
        <v/>
      </c>
      <c r="AB119" s="117" t="str">
        <f t="shared" si="159"/>
        <v/>
      </c>
      <c r="AC119" s="119" t="str">
        <f t="shared" si="160"/>
        <v/>
      </c>
      <c r="AD119" s="117" t="str">
        <f>IFERROR(IF(AND(S118="Impacto",S119="Impacto"),(AD118-(+AD118*V119)),IF(AND(S118="Probabilidad",S119="Impacto"),(AD117-(+AD117*V119)),IF(S119="Probabilidad",AD118,""))),"")</f>
        <v/>
      </c>
      <c r="AE119" s="120" t="str">
        <f t="shared" si="161"/>
        <v/>
      </c>
      <c r="AF119" s="116"/>
      <c r="AG119" s="121"/>
      <c r="AH119" s="122"/>
      <c r="AI119" s="123"/>
      <c r="AJ119" s="123"/>
      <c r="AK119" s="121"/>
      <c r="AL119" s="122"/>
    </row>
    <row r="120" spans="1:38" x14ac:dyDescent="0.3">
      <c r="A120" s="220"/>
      <c r="B120" s="139"/>
      <c r="C120" s="139"/>
      <c r="D120" s="221"/>
      <c r="E120" s="211"/>
      <c r="F120" s="141"/>
      <c r="G120" s="221"/>
      <c r="H120" s="140"/>
      <c r="I120" s="222"/>
      <c r="J120" s="218"/>
      <c r="K120" s="217"/>
      <c r="L120" s="216"/>
      <c r="M120" s="217">
        <f ca="1">IF(NOT(ISERROR(MATCH(L120,_xlfn.ANCHORARRAY(E132),0))),K134&amp;"Por favor no seleccionar los criterios de impacto",L120)</f>
        <v>0</v>
      </c>
      <c r="N120" s="218"/>
      <c r="O120" s="217"/>
      <c r="P120" s="219"/>
      <c r="Q120" s="113">
        <v>4</v>
      </c>
      <c r="R120" s="114"/>
      <c r="S120" s="115" t="str">
        <f t="shared" ref="S120:S122" si="162">IF(OR(T120="Preventivo",T120="Detectivo"),"Probabilidad",IF(T120="Correctivo","Impacto",""))</f>
        <v/>
      </c>
      <c r="T120" s="116"/>
      <c r="U120" s="116"/>
      <c r="V120" s="117" t="str">
        <f t="shared" si="157"/>
        <v/>
      </c>
      <c r="W120" s="116"/>
      <c r="X120" s="116"/>
      <c r="Y120" s="116"/>
      <c r="Z120" s="118" t="str">
        <f t="shared" ref="Z120:Z122" si="163">IFERROR(IF(AND(S119="Probabilidad",S120="Probabilidad"),(AB119-(+AB119*V120)),IF(AND(S119="Impacto",S120="Probabilidad"),(AB118-(+AB118*V120)),IF(S120="Impacto",AB119,""))),"")</f>
        <v/>
      </c>
      <c r="AA120" s="119" t="str">
        <f t="shared" si="158"/>
        <v/>
      </c>
      <c r="AB120" s="117" t="str">
        <f t="shared" si="159"/>
        <v/>
      </c>
      <c r="AC120" s="119" t="str">
        <f t="shared" si="160"/>
        <v/>
      </c>
      <c r="AD120" s="117" t="str">
        <f t="shared" ref="AD120:AD122" si="164">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20"/>
      <c r="B121" s="139"/>
      <c r="C121" s="139"/>
      <c r="D121" s="221"/>
      <c r="E121" s="211"/>
      <c r="F121" s="141"/>
      <c r="G121" s="221"/>
      <c r="H121" s="140"/>
      <c r="I121" s="222"/>
      <c r="J121" s="218"/>
      <c r="K121" s="217"/>
      <c r="L121" s="216"/>
      <c r="M121" s="217">
        <f ca="1">IF(NOT(ISERROR(MATCH(L121,_xlfn.ANCHORARRAY(E133),0))),K135&amp;"Por favor no seleccionar los criterios de impacto",L121)</f>
        <v>0</v>
      </c>
      <c r="N121" s="218"/>
      <c r="O121" s="217"/>
      <c r="P121" s="219"/>
      <c r="Q121" s="113">
        <v>5</v>
      </c>
      <c r="R121" s="114"/>
      <c r="S121" s="115" t="str">
        <f t="shared" si="162"/>
        <v/>
      </c>
      <c r="T121" s="116"/>
      <c r="U121" s="116"/>
      <c r="V121" s="117" t="str">
        <f t="shared" si="157"/>
        <v/>
      </c>
      <c r="W121" s="116"/>
      <c r="X121" s="116"/>
      <c r="Y121" s="116"/>
      <c r="Z121" s="118" t="str">
        <f t="shared" si="163"/>
        <v/>
      </c>
      <c r="AA121" s="119" t="str">
        <f t="shared" si="158"/>
        <v/>
      </c>
      <c r="AB121" s="117" t="str">
        <f t="shared" si="159"/>
        <v/>
      </c>
      <c r="AC121" s="119" t="str">
        <f t="shared" si="160"/>
        <v/>
      </c>
      <c r="AD121" s="117" t="str">
        <f t="shared" si="164"/>
        <v/>
      </c>
      <c r="AE121" s="120" t="str">
        <f t="shared" ref="AE121:AE122" si="165">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20"/>
      <c r="B122" s="139"/>
      <c r="C122" s="139"/>
      <c r="D122" s="221"/>
      <c r="E122" s="211"/>
      <c r="F122" s="141"/>
      <c r="G122" s="221"/>
      <c r="H122" s="140"/>
      <c r="I122" s="222"/>
      <c r="J122" s="218"/>
      <c r="K122" s="217"/>
      <c r="L122" s="216"/>
      <c r="M122" s="217">
        <f ca="1">IF(NOT(ISERROR(MATCH(L122,_xlfn.ANCHORARRAY(E134),0))),K136&amp;"Por favor no seleccionar los criterios de impacto",L122)</f>
        <v>0</v>
      </c>
      <c r="N122" s="218"/>
      <c r="O122" s="217"/>
      <c r="P122" s="219"/>
      <c r="Q122" s="113">
        <v>6</v>
      </c>
      <c r="R122" s="114"/>
      <c r="S122" s="115" t="str">
        <f t="shared" si="162"/>
        <v/>
      </c>
      <c r="T122" s="116"/>
      <c r="U122" s="116"/>
      <c r="V122" s="117" t="str">
        <f t="shared" si="157"/>
        <v/>
      </c>
      <c r="W122" s="116"/>
      <c r="X122" s="116"/>
      <c r="Y122" s="116"/>
      <c r="Z122" s="118" t="str">
        <f t="shared" si="163"/>
        <v/>
      </c>
      <c r="AA122" s="119" t="str">
        <f t="shared" si="158"/>
        <v/>
      </c>
      <c r="AB122" s="117" t="str">
        <f t="shared" si="159"/>
        <v/>
      </c>
      <c r="AC122" s="119" t="str">
        <f t="shared" si="160"/>
        <v/>
      </c>
      <c r="AD122" s="117" t="str">
        <f t="shared" si="164"/>
        <v/>
      </c>
      <c r="AE122" s="120" t="str">
        <f t="shared" si="165"/>
        <v/>
      </c>
      <c r="AF122" s="116"/>
      <c r="AG122" s="121"/>
      <c r="AH122" s="122"/>
      <c r="AI122" s="123"/>
      <c r="AJ122" s="123"/>
      <c r="AK122" s="121"/>
      <c r="AL122" s="122"/>
    </row>
    <row r="123" spans="1:38" x14ac:dyDescent="0.3">
      <c r="A123" s="220">
        <v>10</v>
      </c>
      <c r="B123" s="139"/>
      <c r="C123" s="139"/>
      <c r="D123" s="221"/>
      <c r="E123" s="211"/>
      <c r="F123" s="141"/>
      <c r="G123" s="221"/>
      <c r="H123" s="140"/>
      <c r="I123" s="222"/>
      <c r="J123" s="218" t="str">
        <f>IF(I123&lt;=0,"",IF(I123&lt;=2,"Muy Baja",IF(I123&lt;=24,"Baja",IF(I123&lt;=500,"Media",IF(I123&lt;=5000,"Alta","Muy Alta")))))</f>
        <v/>
      </c>
      <c r="K123" s="217" t="str">
        <f>IF(J123="","",IF(J123="Muy Baja",0.2,IF(J123="Baja",0.4,IF(J123="Media",0.6,IF(J123="Alta",0.8,IF(J123="Muy Alta",1,))))))</f>
        <v/>
      </c>
      <c r="L123" s="216"/>
      <c r="M123" s="217">
        <f>IF(NOT(ISERROR(MATCH(L123,'Tabla Impacto'!$B$221:$B$223,0))),'Tabla Impacto'!$F$223&amp;"Por favor no seleccionar los criterios de impacto(Afectación Económica o presupuestal y Pérdida Reputacional)",L123)</f>
        <v>0</v>
      </c>
      <c r="N123" s="218" t="str">
        <f>IF(OR(M123='Tabla Impacto'!$C$11,M123='Tabla Impacto'!$D$11),"Leve",IF(OR(M123='Tabla Impacto'!$C$12,M123='Tabla Impacto'!$D$12),"Menor",IF(OR(M123='Tabla Impacto'!$C$13,M123='Tabla Impacto'!$D$13),"Moderado",IF(OR(M123='Tabla Impacto'!$C$14,M123='Tabla Impacto'!$D$14),"Mayor",IF(OR(M123='Tabla Impacto'!$C$15,M123='Tabla Impacto'!$D$15),"Catastrófico","")))))</f>
        <v/>
      </c>
      <c r="O123" s="217" t="str">
        <f>IF(N123="","",IF(N123="Leve",0.2,IF(N123="Menor",0.4,IF(N123="Moderado",0.6,IF(N123="Mayor",0.8,IF(N123="Catastrófico",1,))))))</f>
        <v/>
      </c>
      <c r="P123" s="219" t="str">
        <f>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20"/>
      <c r="B124" s="139"/>
      <c r="C124" s="139"/>
      <c r="D124" s="221"/>
      <c r="E124" s="211"/>
      <c r="F124" s="141"/>
      <c r="G124" s="221"/>
      <c r="H124" s="140"/>
      <c r="I124" s="222"/>
      <c r="J124" s="218"/>
      <c r="K124" s="217"/>
      <c r="L124" s="216"/>
      <c r="M124" s="217">
        <f ca="1">IF(NOT(ISERROR(MATCH(L124,_xlfn.ANCHORARRAY(E136),0))),K138&amp;"Por favor no seleccionar los criterios de impacto",L124)</f>
        <v>0</v>
      </c>
      <c r="N124" s="218"/>
      <c r="O124" s="217"/>
      <c r="P124" s="219"/>
      <c r="Q124" s="113">
        <v>2</v>
      </c>
      <c r="R124" s="114"/>
      <c r="S124" s="115" t="str">
        <f>IF(OR(T124="Preventivo",T124="Detectivo"),"Probabilidad",IF(T124="Correctivo","Impacto",""))</f>
        <v/>
      </c>
      <c r="T124" s="116"/>
      <c r="U124" s="116"/>
      <c r="V124" s="117" t="str">
        <f t="shared" ref="V124:V128" si="166">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67">IFERROR(IF(Z124="","",IF(Z124&lt;=0.2,"Muy Baja",IF(Z124&lt;=0.4,"Baja",IF(Z124&lt;=0.6,"Media",IF(Z124&lt;=0.8,"Alta","Muy Alta"))))),"")</f>
        <v/>
      </c>
      <c r="AB124" s="117" t="str">
        <f t="shared" ref="AB124:AB128" si="168">+Z124</f>
        <v/>
      </c>
      <c r="AC124" s="119" t="str">
        <f t="shared" ref="AC124:AC128" si="169">IFERROR(IF(AD124="","",IF(AD124&lt;=0.2,"Leve",IF(AD124&lt;=0.4,"Menor",IF(AD124&lt;=0.6,"Moderado",IF(AD124&lt;=0.8,"Mayor","Catastrófico"))))),"")</f>
        <v/>
      </c>
      <c r="AD124" s="117" t="str">
        <f>IFERROR(IF(AND(S123="Impacto",S124="Impacto"),(AD117-(+AD117*V124)),IF(S124="Impacto",($O$63-(+$O$63*V124)),IF(S124="Probabilidad",AD117,""))),"")</f>
        <v/>
      </c>
      <c r="AE124" s="120" t="str">
        <f t="shared" ref="AE124:AE125" si="170">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20"/>
      <c r="B125" s="139"/>
      <c r="C125" s="139"/>
      <c r="D125" s="221"/>
      <c r="E125" s="211"/>
      <c r="F125" s="141"/>
      <c r="G125" s="221"/>
      <c r="H125" s="140"/>
      <c r="I125" s="222"/>
      <c r="J125" s="218"/>
      <c r="K125" s="217"/>
      <c r="L125" s="216"/>
      <c r="M125" s="217">
        <f ca="1">IF(NOT(ISERROR(MATCH(L125,_xlfn.ANCHORARRAY(E137),0))),K139&amp;"Por favor no seleccionar los criterios de impacto",L125)</f>
        <v>0</v>
      </c>
      <c r="N125" s="218"/>
      <c r="O125" s="217"/>
      <c r="P125" s="219"/>
      <c r="Q125" s="113">
        <v>3</v>
      </c>
      <c r="R125" s="126"/>
      <c r="S125" s="115" t="str">
        <f>IF(OR(T125="Preventivo",T125="Detectivo"),"Probabilidad",IF(T125="Correctivo","Impacto",""))</f>
        <v/>
      </c>
      <c r="T125" s="116"/>
      <c r="U125" s="116"/>
      <c r="V125" s="117" t="str">
        <f t="shared" si="166"/>
        <v/>
      </c>
      <c r="W125" s="116"/>
      <c r="X125" s="116"/>
      <c r="Y125" s="116"/>
      <c r="Z125" s="118" t="str">
        <f>IFERROR(IF(AND(S124="Probabilidad",S125="Probabilidad"),(AB124-(+AB124*V125)),IF(AND(S124="Impacto",S125="Probabilidad"),(AB123-(+AB123*V125)),IF(S125="Impacto",AB124,""))),"")</f>
        <v/>
      </c>
      <c r="AA125" s="119" t="str">
        <f t="shared" si="167"/>
        <v/>
      </c>
      <c r="AB125" s="117" t="str">
        <f t="shared" si="168"/>
        <v/>
      </c>
      <c r="AC125" s="119" t="str">
        <f t="shared" si="169"/>
        <v/>
      </c>
      <c r="AD125" s="117" t="str">
        <f>IFERROR(IF(AND(S124="Impacto",S125="Impacto"),(AD124-(+AD124*V125)),IF(AND(S124="Probabilidad",S125="Impacto"),(AD123-(+AD123*V125)),IF(S125="Probabilidad",AD124,""))),"")</f>
        <v/>
      </c>
      <c r="AE125" s="120" t="str">
        <f t="shared" si="170"/>
        <v/>
      </c>
      <c r="AF125" s="116"/>
      <c r="AG125" s="121"/>
      <c r="AH125" s="122"/>
      <c r="AI125" s="123"/>
      <c r="AJ125" s="123"/>
      <c r="AK125" s="121"/>
      <c r="AL125" s="122"/>
    </row>
    <row r="126" spans="1:38" x14ac:dyDescent="0.3">
      <c r="A126" s="220"/>
      <c r="B126" s="139"/>
      <c r="C126" s="139"/>
      <c r="D126" s="221"/>
      <c r="E126" s="211"/>
      <c r="F126" s="141"/>
      <c r="G126" s="221"/>
      <c r="H126" s="140"/>
      <c r="I126" s="222"/>
      <c r="J126" s="218"/>
      <c r="K126" s="217"/>
      <c r="L126" s="216"/>
      <c r="M126" s="217">
        <f ca="1">IF(NOT(ISERROR(MATCH(L126,_xlfn.ANCHORARRAY(E138),0))),K140&amp;"Por favor no seleccionar los criterios de impacto",L126)</f>
        <v>0</v>
      </c>
      <c r="N126" s="218"/>
      <c r="O126" s="217"/>
      <c r="P126" s="219"/>
      <c r="Q126" s="113">
        <v>4</v>
      </c>
      <c r="R126" s="114"/>
      <c r="S126" s="115" t="str">
        <f t="shared" ref="S126:S128" si="171">IF(OR(T126="Preventivo",T126="Detectivo"),"Probabilidad",IF(T126="Correctivo","Impacto",""))</f>
        <v/>
      </c>
      <c r="T126" s="116"/>
      <c r="U126" s="116"/>
      <c r="V126" s="117" t="str">
        <f t="shared" si="166"/>
        <v/>
      </c>
      <c r="W126" s="116"/>
      <c r="X126" s="116"/>
      <c r="Y126" s="116"/>
      <c r="Z126" s="118" t="str">
        <f t="shared" ref="Z126:Z128" si="172">IFERROR(IF(AND(S125="Probabilidad",S126="Probabilidad"),(AB125-(+AB125*V126)),IF(AND(S125="Impacto",S126="Probabilidad"),(AB124-(+AB124*V126)),IF(S126="Impacto",AB125,""))),"")</f>
        <v/>
      </c>
      <c r="AA126" s="119" t="str">
        <f t="shared" si="167"/>
        <v/>
      </c>
      <c r="AB126" s="117" t="str">
        <f t="shared" si="168"/>
        <v/>
      </c>
      <c r="AC126" s="119" t="str">
        <f t="shared" si="169"/>
        <v/>
      </c>
      <c r="AD126" s="117" t="str">
        <f t="shared" ref="AD126:AD128" si="173">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20"/>
      <c r="B127" s="139"/>
      <c r="C127" s="139"/>
      <c r="D127" s="221"/>
      <c r="E127" s="211"/>
      <c r="F127" s="141"/>
      <c r="G127" s="221"/>
      <c r="H127" s="140"/>
      <c r="I127" s="222"/>
      <c r="J127" s="218"/>
      <c r="K127" s="217"/>
      <c r="L127" s="216"/>
      <c r="M127" s="217">
        <f ca="1">IF(NOT(ISERROR(MATCH(L127,_xlfn.ANCHORARRAY(E139),0))),K141&amp;"Por favor no seleccionar los criterios de impacto",L127)</f>
        <v>0</v>
      </c>
      <c r="N127" s="218"/>
      <c r="O127" s="217"/>
      <c r="P127" s="219"/>
      <c r="Q127" s="113">
        <v>5</v>
      </c>
      <c r="R127" s="114"/>
      <c r="S127" s="115" t="str">
        <f t="shared" si="171"/>
        <v/>
      </c>
      <c r="T127" s="116"/>
      <c r="U127" s="116"/>
      <c r="V127" s="117" t="str">
        <f t="shared" si="166"/>
        <v/>
      </c>
      <c r="W127" s="116"/>
      <c r="X127" s="116"/>
      <c r="Y127" s="116"/>
      <c r="Z127" s="118" t="str">
        <f t="shared" si="172"/>
        <v/>
      </c>
      <c r="AA127" s="119" t="str">
        <f t="shared" si="167"/>
        <v/>
      </c>
      <c r="AB127" s="117" t="str">
        <f t="shared" si="168"/>
        <v/>
      </c>
      <c r="AC127" s="119" t="str">
        <f t="shared" si="169"/>
        <v/>
      </c>
      <c r="AD127" s="117" t="str">
        <f t="shared" si="173"/>
        <v/>
      </c>
      <c r="AE127" s="120" t="str">
        <f t="shared" ref="AE127:AE128" si="174">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20"/>
      <c r="B128" s="139"/>
      <c r="C128" s="139"/>
      <c r="D128" s="221"/>
      <c r="E128" s="211"/>
      <c r="F128" s="141"/>
      <c r="G128" s="221"/>
      <c r="H128" s="140"/>
      <c r="I128" s="222"/>
      <c r="J128" s="218"/>
      <c r="K128" s="217"/>
      <c r="L128" s="216"/>
      <c r="M128" s="217">
        <f ca="1">IF(NOT(ISERROR(MATCH(L128,_xlfn.ANCHORARRAY(E140),0))),K142&amp;"Por favor no seleccionar los criterios de impacto",L128)</f>
        <v>0</v>
      </c>
      <c r="N128" s="218"/>
      <c r="O128" s="217"/>
      <c r="P128" s="219"/>
      <c r="Q128" s="113">
        <v>6</v>
      </c>
      <c r="R128" s="114"/>
      <c r="S128" s="115" t="str">
        <f t="shared" si="171"/>
        <v/>
      </c>
      <c r="T128" s="116"/>
      <c r="U128" s="116"/>
      <c r="V128" s="117" t="str">
        <f t="shared" si="166"/>
        <v/>
      </c>
      <c r="W128" s="116"/>
      <c r="X128" s="116"/>
      <c r="Y128" s="116"/>
      <c r="Z128" s="118" t="str">
        <f t="shared" si="172"/>
        <v/>
      </c>
      <c r="AA128" s="119" t="str">
        <f t="shared" si="167"/>
        <v/>
      </c>
      <c r="AB128" s="117" t="str">
        <f t="shared" si="168"/>
        <v/>
      </c>
      <c r="AC128" s="119" t="str">
        <f t="shared" si="169"/>
        <v/>
      </c>
      <c r="AD128" s="117" t="str">
        <f t="shared" si="173"/>
        <v/>
      </c>
      <c r="AE128" s="120" t="str">
        <f t="shared" si="174"/>
        <v/>
      </c>
      <c r="AF128" s="116"/>
      <c r="AG128" s="121"/>
      <c r="AH128" s="122"/>
      <c r="AI128" s="123"/>
      <c r="AJ128" s="123"/>
      <c r="AK128" s="121"/>
      <c r="AL128" s="122"/>
    </row>
    <row r="129" spans="1:38" s="132" customFormat="1" x14ac:dyDescent="0.3">
      <c r="A129" s="131"/>
      <c r="B129" s="131"/>
      <c r="C129" s="131"/>
      <c r="D129" s="131"/>
      <c r="G129" s="133"/>
      <c r="H129" s="133"/>
    </row>
    <row r="130" spans="1:38" ht="30" customHeight="1" x14ac:dyDescent="0.3">
      <c r="D130" s="215"/>
      <c r="E130" s="215"/>
      <c r="F130" s="215"/>
      <c r="G130" s="215"/>
      <c r="H130" s="215"/>
      <c r="I130" s="215"/>
      <c r="J130" s="215"/>
      <c r="K130" s="215"/>
      <c r="L130" s="215"/>
      <c r="M130" s="215"/>
      <c r="N130" s="215"/>
      <c r="O130" s="215"/>
      <c r="P130" s="215"/>
      <c r="Q130" s="215"/>
      <c r="R130" s="215"/>
      <c r="S130" s="215"/>
      <c r="T130" s="215"/>
      <c r="U130" s="215"/>
      <c r="V130" s="215"/>
      <c r="W130" s="215"/>
      <c r="X130" s="215"/>
      <c r="Y130" s="215"/>
      <c r="Z130" s="215"/>
      <c r="AA130" s="215"/>
      <c r="AB130" s="215"/>
      <c r="AC130" s="215"/>
      <c r="AD130" s="215"/>
      <c r="AE130" s="215"/>
      <c r="AF130" s="215"/>
      <c r="AG130" s="215"/>
      <c r="AH130" s="215"/>
      <c r="AI130" s="215"/>
      <c r="AJ130" s="215"/>
      <c r="AK130" s="215"/>
      <c r="AL130" s="215"/>
    </row>
    <row r="131" spans="1:38" s="135" customFormat="1" x14ac:dyDescent="0.3">
      <c r="A131" s="134"/>
      <c r="B131" s="134"/>
      <c r="C131" s="134"/>
      <c r="D131" s="134"/>
      <c r="G131" s="136"/>
      <c r="H131" s="136"/>
    </row>
  </sheetData>
  <autoFilter ref="A8:BR128"/>
  <dataConsolidate/>
  <mergeCells count="296">
    <mergeCell ref="N63:N68"/>
    <mergeCell ref="O63:O68"/>
    <mergeCell ref="P63:P68"/>
    <mergeCell ref="L57:L62"/>
    <mergeCell ref="M57:M62"/>
    <mergeCell ref="F15:F20"/>
    <mergeCell ref="H15:H20"/>
    <mergeCell ref="H21:H26"/>
    <mergeCell ref="F21:F26"/>
    <mergeCell ref="F27:F32"/>
    <mergeCell ref="H27:H32"/>
    <mergeCell ref="N57:N62"/>
    <mergeCell ref="N39:N44"/>
    <mergeCell ref="N33:N38"/>
    <mergeCell ref="L27:L32"/>
    <mergeCell ref="M27:M32"/>
    <mergeCell ref="N27:N32"/>
    <mergeCell ref="O27:O32"/>
    <mergeCell ref="P27:P32"/>
    <mergeCell ref="O33:O38"/>
    <mergeCell ref="P33:P38"/>
    <mergeCell ref="O39:O44"/>
    <mergeCell ref="P39:P44"/>
    <mergeCell ref="M15:M20"/>
    <mergeCell ref="A63:A68"/>
    <mergeCell ref="D63:D68"/>
    <mergeCell ref="E63:E68"/>
    <mergeCell ref="G63:G68"/>
    <mergeCell ref="I63:I68"/>
    <mergeCell ref="J63:J68"/>
    <mergeCell ref="K63:K68"/>
    <mergeCell ref="L63:L68"/>
    <mergeCell ref="M63:M68"/>
    <mergeCell ref="Q6:Y6"/>
    <mergeCell ref="Z6:AF6"/>
    <mergeCell ref="AG6:AL6"/>
    <mergeCell ref="O57:O62"/>
    <mergeCell ref="P57:P62"/>
    <mergeCell ref="C21:C26"/>
    <mergeCell ref="B21:B26"/>
    <mergeCell ref="B27:B32"/>
    <mergeCell ref="C27:C32"/>
    <mergeCell ref="D51:D56"/>
    <mergeCell ref="E51:E56"/>
    <mergeCell ref="D45:D50"/>
    <mergeCell ref="N51:N56"/>
    <mergeCell ref="O51:O56"/>
    <mergeCell ref="P51:P56"/>
    <mergeCell ref="L45:L50"/>
    <mergeCell ref="M45:M50"/>
    <mergeCell ref="N45:N50"/>
    <mergeCell ref="N15:N20"/>
    <mergeCell ref="O15:O20"/>
    <mergeCell ref="P15:P20"/>
    <mergeCell ref="N21:N26"/>
    <mergeCell ref="G15:G20"/>
    <mergeCell ref="I15:I20"/>
    <mergeCell ref="A57:A62"/>
    <mergeCell ref="D57:D62"/>
    <mergeCell ref="E57:E62"/>
    <mergeCell ref="G57:G62"/>
    <mergeCell ref="I57:I62"/>
    <mergeCell ref="J57:J62"/>
    <mergeCell ref="K57:K62"/>
    <mergeCell ref="A6:I6"/>
    <mergeCell ref="J6:P6"/>
    <mergeCell ref="A51:A56"/>
    <mergeCell ref="A45:A50"/>
    <mergeCell ref="E45:E50"/>
    <mergeCell ref="O45:O50"/>
    <mergeCell ref="P45:P50"/>
    <mergeCell ref="G51:G56"/>
    <mergeCell ref="I51:I56"/>
    <mergeCell ref="J51:J56"/>
    <mergeCell ref="K51:K56"/>
    <mergeCell ref="L51:L56"/>
    <mergeCell ref="G45:G50"/>
    <mergeCell ref="I45:I50"/>
    <mergeCell ref="J45:J50"/>
    <mergeCell ref="K45:K50"/>
    <mergeCell ref="M51:M56"/>
    <mergeCell ref="L21:L26"/>
    <mergeCell ref="M21:M26"/>
    <mergeCell ref="A39:A44"/>
    <mergeCell ref="D39:D44"/>
    <mergeCell ref="E39:E44"/>
    <mergeCell ref="G39:G44"/>
    <mergeCell ref="D33:D38"/>
    <mergeCell ref="E33:E38"/>
    <mergeCell ref="L39:L44"/>
    <mergeCell ref="M39:M44"/>
    <mergeCell ref="G33:G38"/>
    <mergeCell ref="I33:I38"/>
    <mergeCell ref="J33:J38"/>
    <mergeCell ref="L33:L38"/>
    <mergeCell ref="I39:I44"/>
    <mergeCell ref="J39:J44"/>
    <mergeCell ref="K39:K44"/>
    <mergeCell ref="M33:M38"/>
    <mergeCell ref="L15:L20"/>
    <mergeCell ref="A15:A20"/>
    <mergeCell ref="O21:O26"/>
    <mergeCell ref="P21:P26"/>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A21:A26"/>
    <mergeCell ref="D21:D26"/>
    <mergeCell ref="AC7:AC8"/>
    <mergeCell ref="AA7:AA8"/>
    <mergeCell ref="AB7:AB8"/>
    <mergeCell ref="S7:S8"/>
    <mergeCell ref="T7:Y7"/>
    <mergeCell ref="G9:G14"/>
    <mergeCell ref="I9:I14"/>
    <mergeCell ref="J9:J14"/>
    <mergeCell ref="A9:A14"/>
    <mergeCell ref="D9:D14"/>
    <mergeCell ref="E9:E14"/>
    <mergeCell ref="K7:K8"/>
    <mergeCell ref="N7:N8"/>
    <mergeCell ref="O7:O8"/>
    <mergeCell ref="P7:P8"/>
    <mergeCell ref="L7:L8"/>
    <mergeCell ref="M7:M8"/>
    <mergeCell ref="P9:P14"/>
    <mergeCell ref="K9:K14"/>
    <mergeCell ref="L9:L14"/>
    <mergeCell ref="M9:M14"/>
    <mergeCell ref="N9:N14"/>
    <mergeCell ref="O9:O14"/>
    <mergeCell ref="D15:D20"/>
    <mergeCell ref="E15:E20"/>
    <mergeCell ref="K33:K38"/>
    <mergeCell ref="C9:C14"/>
    <mergeCell ref="B9:B14"/>
    <mergeCell ref="C15:C20"/>
    <mergeCell ref="B15:B20"/>
    <mergeCell ref="A27:A32"/>
    <mergeCell ref="D27:D32"/>
    <mergeCell ref="E27:E32"/>
    <mergeCell ref="G27:G32"/>
    <mergeCell ref="I27:I32"/>
    <mergeCell ref="J27:J32"/>
    <mergeCell ref="K27:K32"/>
    <mergeCell ref="A33:A38"/>
    <mergeCell ref="J15:J20"/>
    <mergeCell ref="K15:K20"/>
    <mergeCell ref="E21:E26"/>
    <mergeCell ref="G21:G26"/>
    <mergeCell ref="I21:I26"/>
    <mergeCell ref="J21:J26"/>
    <mergeCell ref="K21:K26"/>
    <mergeCell ref="L69:L74"/>
    <mergeCell ref="M69:M74"/>
    <mergeCell ref="N69:N74"/>
    <mergeCell ref="O69:O74"/>
    <mergeCell ref="P69:P74"/>
    <mergeCell ref="A75:A80"/>
    <mergeCell ref="D75:D80"/>
    <mergeCell ref="E75:E80"/>
    <mergeCell ref="G75:G80"/>
    <mergeCell ref="I75:I80"/>
    <mergeCell ref="J75:J80"/>
    <mergeCell ref="K75:K80"/>
    <mergeCell ref="L75:L80"/>
    <mergeCell ref="M75:M80"/>
    <mergeCell ref="N75:N80"/>
    <mergeCell ref="O75:O80"/>
    <mergeCell ref="P75:P80"/>
    <mergeCell ref="A69:A74"/>
    <mergeCell ref="D69:D74"/>
    <mergeCell ref="E69:E74"/>
    <mergeCell ref="G69:G74"/>
    <mergeCell ref="I69:I74"/>
    <mergeCell ref="J69:J74"/>
    <mergeCell ref="K69:K74"/>
    <mergeCell ref="A87:A92"/>
    <mergeCell ref="D87:D92"/>
    <mergeCell ref="E87:E92"/>
    <mergeCell ref="G87:G92"/>
    <mergeCell ref="I87:I92"/>
    <mergeCell ref="J87:J92"/>
    <mergeCell ref="K87:K92"/>
    <mergeCell ref="A81:A86"/>
    <mergeCell ref="D81:D86"/>
    <mergeCell ref="E81:E86"/>
    <mergeCell ref="G81:G86"/>
    <mergeCell ref="I81:I86"/>
    <mergeCell ref="J81:J86"/>
    <mergeCell ref="K81:K86"/>
    <mergeCell ref="O81:O86"/>
    <mergeCell ref="P81:P86"/>
    <mergeCell ref="L87:L92"/>
    <mergeCell ref="M87:M92"/>
    <mergeCell ref="N87:N92"/>
    <mergeCell ref="O87:O92"/>
    <mergeCell ref="P87:P92"/>
    <mergeCell ref="M93:M98"/>
    <mergeCell ref="N93:N98"/>
    <mergeCell ref="O93:O98"/>
    <mergeCell ref="P93:P98"/>
    <mergeCell ref="K99:K104"/>
    <mergeCell ref="G93:G98"/>
    <mergeCell ref="I93:I98"/>
    <mergeCell ref="J93:J98"/>
    <mergeCell ref="K93:K98"/>
    <mergeCell ref="L93:L98"/>
    <mergeCell ref="L81:L86"/>
    <mergeCell ref="M81:M86"/>
    <mergeCell ref="N81:N86"/>
    <mergeCell ref="M99:M104"/>
    <mergeCell ref="N99:N104"/>
    <mergeCell ref="A93:A98"/>
    <mergeCell ref="D93:D98"/>
    <mergeCell ref="E93:E98"/>
    <mergeCell ref="A99:A104"/>
    <mergeCell ref="D99:D104"/>
    <mergeCell ref="E99:E104"/>
    <mergeCell ref="G99:G104"/>
    <mergeCell ref="I99:I104"/>
    <mergeCell ref="J99:J104"/>
    <mergeCell ref="I111:I116"/>
    <mergeCell ref="J111:J116"/>
    <mergeCell ref="K111:K116"/>
    <mergeCell ref="L111:L116"/>
    <mergeCell ref="M111:M116"/>
    <mergeCell ref="A105:A110"/>
    <mergeCell ref="D105:D110"/>
    <mergeCell ref="E105:E110"/>
    <mergeCell ref="G105:G110"/>
    <mergeCell ref="I105:I110"/>
    <mergeCell ref="J105:J110"/>
    <mergeCell ref="O99:O104"/>
    <mergeCell ref="P99:P104"/>
    <mergeCell ref="A123:A128"/>
    <mergeCell ref="D123:D128"/>
    <mergeCell ref="E123:E128"/>
    <mergeCell ref="G123:G128"/>
    <mergeCell ref="I123:I128"/>
    <mergeCell ref="J123:J128"/>
    <mergeCell ref="K123:K128"/>
    <mergeCell ref="L123:L128"/>
    <mergeCell ref="M123:M128"/>
    <mergeCell ref="A117:A122"/>
    <mergeCell ref="D117:D122"/>
    <mergeCell ref="E117:E122"/>
    <mergeCell ref="G117:G122"/>
    <mergeCell ref="I117:I122"/>
    <mergeCell ref="J117:J122"/>
    <mergeCell ref="K117:K122"/>
    <mergeCell ref="L105:L110"/>
    <mergeCell ref="M105:M110"/>
    <mergeCell ref="A111:A116"/>
    <mergeCell ref="D111:D116"/>
    <mergeCell ref="E111:E116"/>
    <mergeCell ref="G111:G116"/>
    <mergeCell ref="A1:AL1"/>
    <mergeCell ref="A2:AL2"/>
    <mergeCell ref="A3:AL3"/>
    <mergeCell ref="A4:AL4"/>
    <mergeCell ref="H7:H8"/>
    <mergeCell ref="F9:F14"/>
    <mergeCell ref="H9:H14"/>
    <mergeCell ref="D130:AL130"/>
    <mergeCell ref="L117:L122"/>
    <mergeCell ref="M117:M122"/>
    <mergeCell ref="N117:N122"/>
    <mergeCell ref="O117:O122"/>
    <mergeCell ref="P117:P122"/>
    <mergeCell ref="N123:N128"/>
    <mergeCell ref="O123:O128"/>
    <mergeCell ref="P123:P128"/>
    <mergeCell ref="N105:N110"/>
    <mergeCell ref="O105:O110"/>
    <mergeCell ref="P105:P110"/>
    <mergeCell ref="N111:N116"/>
    <mergeCell ref="O111:O116"/>
    <mergeCell ref="P111:P116"/>
    <mergeCell ref="K105:K110"/>
    <mergeCell ref="L99:L104"/>
  </mergeCells>
  <phoneticPr fontId="61" type="noConversion"/>
  <conditionalFormatting sqref="J15">
    <cfRule type="cellIs" dxfId="476" priority="575" operator="equal">
      <formula>"Muy Alta"</formula>
    </cfRule>
    <cfRule type="cellIs" dxfId="475" priority="576" operator="equal">
      <formula>"Alta"</formula>
    </cfRule>
    <cfRule type="cellIs" dxfId="474" priority="577" operator="equal">
      <formula>"Media"</formula>
    </cfRule>
    <cfRule type="cellIs" dxfId="473" priority="578" operator="equal">
      <formula>"Baja"</formula>
    </cfRule>
    <cfRule type="cellIs" dxfId="472" priority="579" operator="equal">
      <formula>"Muy Baja"</formula>
    </cfRule>
  </conditionalFormatting>
  <conditionalFormatting sqref="N15 N21 N27 N33 N39 N45 N51 N57 N63">
    <cfRule type="cellIs" dxfId="471" priority="570" operator="equal">
      <formula>"Catastrófico"</formula>
    </cfRule>
    <cfRule type="cellIs" dxfId="470" priority="571" operator="equal">
      <formula>"Mayor"</formula>
    </cfRule>
    <cfRule type="cellIs" dxfId="469" priority="572" operator="equal">
      <formula>"Moderado"</formula>
    </cfRule>
    <cfRule type="cellIs" dxfId="468" priority="573" operator="equal">
      <formula>"Menor"</formula>
    </cfRule>
    <cfRule type="cellIs" dxfId="467" priority="574" operator="equal">
      <formula>"Leve"</formula>
    </cfRule>
  </conditionalFormatting>
  <conditionalFormatting sqref="P9">
    <cfRule type="cellIs" dxfId="466" priority="566" operator="equal">
      <formula>"Extremo"</formula>
    </cfRule>
    <cfRule type="cellIs" dxfId="465" priority="567" operator="equal">
      <formula>"Alto"</formula>
    </cfRule>
    <cfRule type="cellIs" dxfId="464" priority="568" operator="equal">
      <formula>"Moderado"</formula>
    </cfRule>
    <cfRule type="cellIs" dxfId="463" priority="569" operator="equal">
      <formula>"Bajo"</formula>
    </cfRule>
  </conditionalFormatting>
  <conditionalFormatting sqref="AA9:AA14">
    <cfRule type="cellIs" dxfId="462" priority="561" operator="equal">
      <formula>"Muy Alta"</formula>
    </cfRule>
    <cfRule type="cellIs" dxfId="461" priority="562" operator="equal">
      <formula>"Alta"</formula>
    </cfRule>
    <cfRule type="cellIs" dxfId="460" priority="563" operator="equal">
      <formula>"Media"</formula>
    </cfRule>
    <cfRule type="cellIs" dxfId="459" priority="564" operator="equal">
      <formula>"Baja"</formula>
    </cfRule>
    <cfRule type="cellIs" dxfId="458" priority="565" operator="equal">
      <formula>"Muy Baja"</formula>
    </cfRule>
  </conditionalFormatting>
  <conditionalFormatting sqref="AC9:AC14">
    <cfRule type="cellIs" dxfId="457" priority="556" operator="equal">
      <formula>"Catastrófico"</formula>
    </cfRule>
    <cfRule type="cellIs" dxfId="456" priority="557" operator="equal">
      <formula>"Mayor"</formula>
    </cfRule>
    <cfRule type="cellIs" dxfId="455" priority="558" operator="equal">
      <formula>"Moderado"</formula>
    </cfRule>
    <cfRule type="cellIs" dxfId="454" priority="559" operator="equal">
      <formula>"Menor"</formula>
    </cfRule>
    <cfRule type="cellIs" dxfId="453" priority="560" operator="equal">
      <formula>"Leve"</formula>
    </cfRule>
  </conditionalFormatting>
  <conditionalFormatting sqref="AE9:AE14">
    <cfRule type="cellIs" dxfId="452" priority="552" operator="equal">
      <formula>"Extremo"</formula>
    </cfRule>
    <cfRule type="cellIs" dxfId="451" priority="553" operator="equal">
      <formula>"Alto"</formula>
    </cfRule>
    <cfRule type="cellIs" dxfId="450" priority="554" operator="equal">
      <formula>"Moderado"</formula>
    </cfRule>
    <cfRule type="cellIs" dxfId="449" priority="555" operator="equal">
      <formula>"Bajo"</formula>
    </cfRule>
  </conditionalFormatting>
  <conditionalFormatting sqref="J57">
    <cfRule type="cellIs" dxfId="448" priority="309" operator="equal">
      <formula>"Muy Alta"</formula>
    </cfRule>
    <cfRule type="cellIs" dxfId="447" priority="310" operator="equal">
      <formula>"Alta"</formula>
    </cfRule>
    <cfRule type="cellIs" dxfId="446" priority="311" operator="equal">
      <formula>"Media"</formula>
    </cfRule>
    <cfRule type="cellIs" dxfId="445" priority="312" operator="equal">
      <formula>"Baja"</formula>
    </cfRule>
    <cfRule type="cellIs" dxfId="444" priority="313" operator="equal">
      <formula>"Muy Baja"</formula>
    </cfRule>
  </conditionalFormatting>
  <conditionalFormatting sqref="P15">
    <cfRule type="cellIs" dxfId="443" priority="496" operator="equal">
      <formula>"Extremo"</formula>
    </cfRule>
    <cfRule type="cellIs" dxfId="442" priority="497" operator="equal">
      <formula>"Alto"</formula>
    </cfRule>
    <cfRule type="cellIs" dxfId="441" priority="498" operator="equal">
      <formula>"Moderado"</formula>
    </cfRule>
    <cfRule type="cellIs" dxfId="440" priority="499" operator="equal">
      <formula>"Bajo"</formula>
    </cfRule>
  </conditionalFormatting>
  <conditionalFormatting sqref="AA15:AA20">
    <cfRule type="cellIs" dxfId="439" priority="491" operator="equal">
      <formula>"Muy Alta"</formula>
    </cfRule>
    <cfRule type="cellIs" dxfId="438" priority="492" operator="equal">
      <formula>"Alta"</formula>
    </cfRule>
    <cfRule type="cellIs" dxfId="437" priority="493" operator="equal">
      <formula>"Media"</formula>
    </cfRule>
    <cfRule type="cellIs" dxfId="436" priority="494" operator="equal">
      <formula>"Baja"</formula>
    </cfRule>
    <cfRule type="cellIs" dxfId="435" priority="495" operator="equal">
      <formula>"Muy Baja"</formula>
    </cfRule>
  </conditionalFormatting>
  <conditionalFormatting sqref="AC15:AC20">
    <cfRule type="cellIs" dxfId="434" priority="486" operator="equal">
      <formula>"Catastrófico"</formula>
    </cfRule>
    <cfRule type="cellIs" dxfId="433" priority="487" operator="equal">
      <formula>"Mayor"</formula>
    </cfRule>
    <cfRule type="cellIs" dxfId="432" priority="488" operator="equal">
      <formula>"Moderado"</formula>
    </cfRule>
    <cfRule type="cellIs" dxfId="431" priority="489" operator="equal">
      <formula>"Menor"</formula>
    </cfRule>
    <cfRule type="cellIs" dxfId="430" priority="490" operator="equal">
      <formula>"Leve"</formula>
    </cfRule>
  </conditionalFormatting>
  <conditionalFormatting sqref="AE15:AE20">
    <cfRule type="cellIs" dxfId="429" priority="482" operator="equal">
      <formula>"Extremo"</formula>
    </cfRule>
    <cfRule type="cellIs" dxfId="428" priority="483" operator="equal">
      <formula>"Alto"</formula>
    </cfRule>
    <cfRule type="cellIs" dxfId="427" priority="484" operator="equal">
      <formula>"Moderado"</formula>
    </cfRule>
    <cfRule type="cellIs" dxfId="426" priority="485" operator="equal">
      <formula>"Bajo"</formula>
    </cfRule>
  </conditionalFormatting>
  <conditionalFormatting sqref="J21">
    <cfRule type="cellIs" dxfId="425" priority="477" operator="equal">
      <formula>"Muy Alta"</formula>
    </cfRule>
    <cfRule type="cellIs" dxfId="424" priority="478" operator="equal">
      <formula>"Alta"</formula>
    </cfRule>
    <cfRule type="cellIs" dxfId="423" priority="479" operator="equal">
      <formula>"Media"</formula>
    </cfRule>
    <cfRule type="cellIs" dxfId="422" priority="480" operator="equal">
      <formula>"Baja"</formula>
    </cfRule>
    <cfRule type="cellIs" dxfId="421" priority="481" operator="equal">
      <formula>"Muy Baja"</formula>
    </cfRule>
  </conditionalFormatting>
  <conditionalFormatting sqref="P21">
    <cfRule type="cellIs" dxfId="420" priority="468" operator="equal">
      <formula>"Extremo"</formula>
    </cfRule>
    <cfRule type="cellIs" dxfId="419" priority="469" operator="equal">
      <formula>"Alto"</formula>
    </cfRule>
    <cfRule type="cellIs" dxfId="418" priority="470" operator="equal">
      <formula>"Moderado"</formula>
    </cfRule>
    <cfRule type="cellIs" dxfId="417" priority="471" operator="equal">
      <formula>"Bajo"</formula>
    </cfRule>
  </conditionalFormatting>
  <conditionalFormatting sqref="J27">
    <cfRule type="cellIs" dxfId="416" priority="449" operator="equal">
      <formula>"Muy Alta"</formula>
    </cfRule>
    <cfRule type="cellIs" dxfId="415" priority="450" operator="equal">
      <formula>"Alta"</formula>
    </cfRule>
    <cfRule type="cellIs" dxfId="414" priority="451" operator="equal">
      <formula>"Media"</formula>
    </cfRule>
    <cfRule type="cellIs" dxfId="413" priority="452" operator="equal">
      <formula>"Baja"</formula>
    </cfRule>
    <cfRule type="cellIs" dxfId="412" priority="453" operator="equal">
      <formula>"Muy Baja"</formula>
    </cfRule>
  </conditionalFormatting>
  <conditionalFormatting sqref="P27">
    <cfRule type="cellIs" dxfId="411" priority="440" operator="equal">
      <formula>"Extremo"</formula>
    </cfRule>
    <cfRule type="cellIs" dxfId="410" priority="441" operator="equal">
      <formula>"Alto"</formula>
    </cfRule>
    <cfRule type="cellIs" dxfId="409" priority="442" operator="equal">
      <formula>"Moderado"</formula>
    </cfRule>
    <cfRule type="cellIs" dxfId="408" priority="443" operator="equal">
      <formula>"Bajo"</formula>
    </cfRule>
  </conditionalFormatting>
  <conditionalFormatting sqref="AA27:AA32">
    <cfRule type="cellIs" dxfId="407" priority="435" operator="equal">
      <formula>"Muy Alta"</formula>
    </cfRule>
    <cfRule type="cellIs" dxfId="406" priority="436" operator="equal">
      <formula>"Alta"</formula>
    </cfRule>
    <cfRule type="cellIs" dxfId="405" priority="437" operator="equal">
      <formula>"Media"</formula>
    </cfRule>
    <cfRule type="cellIs" dxfId="404" priority="438" operator="equal">
      <formula>"Baja"</formula>
    </cfRule>
    <cfRule type="cellIs" dxfId="403" priority="439" operator="equal">
      <formula>"Muy Baja"</formula>
    </cfRule>
  </conditionalFormatting>
  <conditionalFormatting sqref="AC27:AC32">
    <cfRule type="cellIs" dxfId="402" priority="430" operator="equal">
      <formula>"Catastrófico"</formula>
    </cfRule>
    <cfRule type="cellIs" dxfId="401" priority="431" operator="equal">
      <formula>"Mayor"</formula>
    </cfRule>
    <cfRule type="cellIs" dxfId="400" priority="432" operator="equal">
      <formula>"Moderado"</formula>
    </cfRule>
    <cfRule type="cellIs" dxfId="399" priority="433" operator="equal">
      <formula>"Menor"</formula>
    </cfRule>
    <cfRule type="cellIs" dxfId="398" priority="434" operator="equal">
      <formula>"Leve"</formula>
    </cfRule>
  </conditionalFormatting>
  <conditionalFormatting sqref="AE27:AE32">
    <cfRule type="cellIs" dxfId="397" priority="426" operator="equal">
      <formula>"Extremo"</formula>
    </cfRule>
    <cfRule type="cellIs" dxfId="396" priority="427" operator="equal">
      <formula>"Alto"</formula>
    </cfRule>
    <cfRule type="cellIs" dxfId="395" priority="428" operator="equal">
      <formula>"Moderado"</formula>
    </cfRule>
    <cfRule type="cellIs" dxfId="394" priority="429" operator="equal">
      <formula>"Bajo"</formula>
    </cfRule>
  </conditionalFormatting>
  <conditionalFormatting sqref="J33">
    <cfRule type="cellIs" dxfId="393" priority="421" operator="equal">
      <formula>"Muy Alta"</formula>
    </cfRule>
    <cfRule type="cellIs" dxfId="392" priority="422" operator="equal">
      <formula>"Alta"</formula>
    </cfRule>
    <cfRule type="cellIs" dxfId="391" priority="423" operator="equal">
      <formula>"Media"</formula>
    </cfRule>
    <cfRule type="cellIs" dxfId="390" priority="424" operator="equal">
      <formula>"Baja"</formula>
    </cfRule>
    <cfRule type="cellIs" dxfId="389" priority="425" operator="equal">
      <formula>"Muy Baja"</formula>
    </cfRule>
  </conditionalFormatting>
  <conditionalFormatting sqref="P33">
    <cfRule type="cellIs" dxfId="388" priority="412" operator="equal">
      <formula>"Extremo"</formula>
    </cfRule>
    <cfRule type="cellIs" dxfId="387" priority="413" operator="equal">
      <formula>"Alto"</formula>
    </cfRule>
    <cfRule type="cellIs" dxfId="386" priority="414" operator="equal">
      <formula>"Moderado"</formula>
    </cfRule>
    <cfRule type="cellIs" dxfId="385" priority="415" operator="equal">
      <formula>"Bajo"</formula>
    </cfRule>
  </conditionalFormatting>
  <conditionalFormatting sqref="AA33:AA38">
    <cfRule type="cellIs" dxfId="384" priority="407" operator="equal">
      <formula>"Muy Alta"</formula>
    </cfRule>
    <cfRule type="cellIs" dxfId="383" priority="408" operator="equal">
      <formula>"Alta"</formula>
    </cfRule>
    <cfRule type="cellIs" dxfId="382" priority="409" operator="equal">
      <formula>"Media"</formula>
    </cfRule>
    <cfRule type="cellIs" dxfId="381" priority="410" operator="equal">
      <formula>"Baja"</formula>
    </cfRule>
    <cfRule type="cellIs" dxfId="380" priority="411" operator="equal">
      <formula>"Muy Baja"</formula>
    </cfRule>
  </conditionalFormatting>
  <conditionalFormatting sqref="AC33:AC38">
    <cfRule type="cellIs" dxfId="379" priority="402" operator="equal">
      <formula>"Catastrófico"</formula>
    </cfRule>
    <cfRule type="cellIs" dxfId="378" priority="403" operator="equal">
      <formula>"Mayor"</formula>
    </cfRule>
    <cfRule type="cellIs" dxfId="377" priority="404" operator="equal">
      <formula>"Moderado"</formula>
    </cfRule>
    <cfRule type="cellIs" dxfId="376" priority="405" operator="equal">
      <formula>"Menor"</formula>
    </cfRule>
    <cfRule type="cellIs" dxfId="375" priority="406" operator="equal">
      <formula>"Leve"</formula>
    </cfRule>
  </conditionalFormatting>
  <conditionalFormatting sqref="AE33:AE38">
    <cfRule type="cellIs" dxfId="374" priority="398" operator="equal">
      <formula>"Extremo"</formula>
    </cfRule>
    <cfRule type="cellIs" dxfId="373" priority="399" operator="equal">
      <formula>"Alto"</formula>
    </cfRule>
    <cfRule type="cellIs" dxfId="372" priority="400" operator="equal">
      <formula>"Moderado"</formula>
    </cfRule>
    <cfRule type="cellIs" dxfId="371" priority="401" operator="equal">
      <formula>"Bajo"</formula>
    </cfRule>
  </conditionalFormatting>
  <conditionalFormatting sqref="J39">
    <cfRule type="cellIs" dxfId="370" priority="393" operator="equal">
      <formula>"Muy Alta"</formula>
    </cfRule>
    <cfRule type="cellIs" dxfId="369" priority="394" operator="equal">
      <formula>"Alta"</formula>
    </cfRule>
    <cfRule type="cellIs" dxfId="368" priority="395" operator="equal">
      <formula>"Media"</formula>
    </cfRule>
    <cfRule type="cellIs" dxfId="367" priority="396" operator="equal">
      <formula>"Baja"</formula>
    </cfRule>
    <cfRule type="cellIs" dxfId="366" priority="397" operator="equal">
      <formula>"Muy Baja"</formula>
    </cfRule>
  </conditionalFormatting>
  <conditionalFormatting sqref="P39">
    <cfRule type="cellIs" dxfId="365" priority="384" operator="equal">
      <formula>"Extremo"</formula>
    </cfRule>
    <cfRule type="cellIs" dxfId="364" priority="385" operator="equal">
      <formula>"Alto"</formula>
    </cfRule>
    <cfRule type="cellIs" dxfId="363" priority="386" operator="equal">
      <formula>"Moderado"</formula>
    </cfRule>
    <cfRule type="cellIs" dxfId="362" priority="387" operator="equal">
      <formula>"Bajo"</formula>
    </cfRule>
  </conditionalFormatting>
  <conditionalFormatting sqref="AA39:AA44">
    <cfRule type="cellIs" dxfId="361" priority="379" operator="equal">
      <formula>"Muy Alta"</formula>
    </cfRule>
    <cfRule type="cellIs" dxfId="360" priority="380" operator="equal">
      <formula>"Alta"</formula>
    </cfRule>
    <cfRule type="cellIs" dxfId="359" priority="381" operator="equal">
      <formula>"Media"</formula>
    </cfRule>
    <cfRule type="cellIs" dxfId="358" priority="382" operator="equal">
      <formula>"Baja"</formula>
    </cfRule>
    <cfRule type="cellIs" dxfId="357" priority="383" operator="equal">
      <formula>"Muy Baja"</formula>
    </cfRule>
  </conditionalFormatting>
  <conditionalFormatting sqref="AC39:AC44">
    <cfRule type="cellIs" dxfId="356" priority="374" operator="equal">
      <formula>"Catastrófico"</formula>
    </cfRule>
    <cfRule type="cellIs" dxfId="355" priority="375" operator="equal">
      <formula>"Mayor"</formula>
    </cfRule>
    <cfRule type="cellIs" dxfId="354" priority="376" operator="equal">
      <formula>"Moderado"</formula>
    </cfRule>
    <cfRule type="cellIs" dxfId="353" priority="377" operator="equal">
      <formula>"Menor"</formula>
    </cfRule>
    <cfRule type="cellIs" dxfId="352" priority="378" operator="equal">
      <formula>"Leve"</formula>
    </cfRule>
  </conditionalFormatting>
  <conditionalFormatting sqref="AE39:AE44">
    <cfRule type="cellIs" dxfId="351" priority="370" operator="equal">
      <formula>"Extremo"</formula>
    </cfRule>
    <cfRule type="cellIs" dxfId="350" priority="371" operator="equal">
      <formula>"Alto"</formula>
    </cfRule>
    <cfRule type="cellIs" dxfId="349" priority="372" operator="equal">
      <formula>"Moderado"</formula>
    </cfRule>
    <cfRule type="cellIs" dxfId="348" priority="373" operator="equal">
      <formula>"Bajo"</formula>
    </cfRule>
  </conditionalFormatting>
  <conditionalFormatting sqref="J45">
    <cfRule type="cellIs" dxfId="347" priority="365" operator="equal">
      <formula>"Muy Alta"</formula>
    </cfRule>
    <cfRule type="cellIs" dxfId="346" priority="366" operator="equal">
      <formula>"Alta"</formula>
    </cfRule>
    <cfRule type="cellIs" dxfId="345" priority="367" operator="equal">
      <formula>"Media"</formula>
    </cfRule>
    <cfRule type="cellIs" dxfId="344" priority="368" operator="equal">
      <formula>"Baja"</formula>
    </cfRule>
    <cfRule type="cellIs" dxfId="343" priority="369" operator="equal">
      <formula>"Muy Baja"</formula>
    </cfRule>
  </conditionalFormatting>
  <conditionalFormatting sqref="P45">
    <cfRule type="cellIs" dxfId="342" priority="356" operator="equal">
      <formula>"Extremo"</formula>
    </cfRule>
    <cfRule type="cellIs" dxfId="341" priority="357" operator="equal">
      <formula>"Alto"</formula>
    </cfRule>
    <cfRule type="cellIs" dxfId="340" priority="358" operator="equal">
      <formula>"Moderado"</formula>
    </cfRule>
    <cfRule type="cellIs" dxfId="339" priority="359" operator="equal">
      <formula>"Bajo"</formula>
    </cfRule>
  </conditionalFormatting>
  <conditionalFormatting sqref="AA45:AA50">
    <cfRule type="cellIs" dxfId="338" priority="351" operator="equal">
      <formula>"Muy Alta"</formula>
    </cfRule>
    <cfRule type="cellIs" dxfId="337" priority="352" operator="equal">
      <formula>"Alta"</formula>
    </cfRule>
    <cfRule type="cellIs" dxfId="336" priority="353" operator="equal">
      <formula>"Media"</formula>
    </cfRule>
    <cfRule type="cellIs" dxfId="335" priority="354" operator="equal">
      <formula>"Baja"</formula>
    </cfRule>
    <cfRule type="cellIs" dxfId="334" priority="355" operator="equal">
      <formula>"Muy Baja"</formula>
    </cfRule>
  </conditionalFormatting>
  <conditionalFormatting sqref="AC45:AC50">
    <cfRule type="cellIs" dxfId="333" priority="346" operator="equal">
      <formula>"Catastrófico"</formula>
    </cfRule>
    <cfRule type="cellIs" dxfId="332" priority="347" operator="equal">
      <formula>"Mayor"</formula>
    </cfRule>
    <cfRule type="cellIs" dxfId="331" priority="348" operator="equal">
      <formula>"Moderado"</formula>
    </cfRule>
    <cfRule type="cellIs" dxfId="330" priority="349" operator="equal">
      <formula>"Menor"</formula>
    </cfRule>
    <cfRule type="cellIs" dxfId="329" priority="350" operator="equal">
      <formula>"Leve"</formula>
    </cfRule>
  </conditionalFormatting>
  <conditionalFormatting sqref="AE45:AE50">
    <cfRule type="cellIs" dxfId="328" priority="342" operator="equal">
      <formula>"Extremo"</formula>
    </cfRule>
    <cfRule type="cellIs" dxfId="327" priority="343" operator="equal">
      <formula>"Alto"</formula>
    </cfRule>
    <cfRule type="cellIs" dxfId="326" priority="344" operator="equal">
      <formula>"Moderado"</formula>
    </cfRule>
    <cfRule type="cellIs" dxfId="325" priority="345" operator="equal">
      <formula>"Bajo"</formula>
    </cfRule>
  </conditionalFormatting>
  <conditionalFormatting sqref="J51">
    <cfRule type="cellIs" dxfId="324" priority="337" operator="equal">
      <formula>"Muy Alta"</formula>
    </cfRule>
    <cfRule type="cellIs" dxfId="323" priority="338" operator="equal">
      <formula>"Alta"</formula>
    </cfRule>
    <cfRule type="cellIs" dxfId="322" priority="339" operator="equal">
      <formula>"Media"</formula>
    </cfRule>
    <cfRule type="cellIs" dxfId="321" priority="340" operator="equal">
      <formula>"Baja"</formula>
    </cfRule>
    <cfRule type="cellIs" dxfId="320" priority="341" operator="equal">
      <formula>"Muy Baja"</formula>
    </cfRule>
  </conditionalFormatting>
  <conditionalFormatting sqref="P51">
    <cfRule type="cellIs" dxfId="319" priority="328" operator="equal">
      <formula>"Extremo"</formula>
    </cfRule>
    <cfRule type="cellIs" dxfId="318" priority="329" operator="equal">
      <formula>"Alto"</formula>
    </cfRule>
    <cfRule type="cellIs" dxfId="317" priority="330" operator="equal">
      <formula>"Moderado"</formula>
    </cfRule>
    <cfRule type="cellIs" dxfId="316" priority="331" operator="equal">
      <formula>"Bajo"</formula>
    </cfRule>
  </conditionalFormatting>
  <conditionalFormatting sqref="AA51:AA56">
    <cfRule type="cellIs" dxfId="315" priority="323" operator="equal">
      <formula>"Muy Alta"</formula>
    </cfRule>
    <cfRule type="cellIs" dxfId="314" priority="324" operator="equal">
      <formula>"Alta"</formula>
    </cfRule>
    <cfRule type="cellIs" dxfId="313" priority="325" operator="equal">
      <formula>"Media"</formula>
    </cfRule>
    <cfRule type="cellIs" dxfId="312" priority="326" operator="equal">
      <formula>"Baja"</formula>
    </cfRule>
    <cfRule type="cellIs" dxfId="311" priority="327" operator="equal">
      <formula>"Muy Baja"</formula>
    </cfRule>
  </conditionalFormatting>
  <conditionalFormatting sqref="AC51:AC56">
    <cfRule type="cellIs" dxfId="310" priority="318" operator="equal">
      <formula>"Catastrófico"</formula>
    </cfRule>
    <cfRule type="cellIs" dxfId="309" priority="319" operator="equal">
      <formula>"Mayor"</formula>
    </cfRule>
    <cfRule type="cellIs" dxfId="308" priority="320" operator="equal">
      <formula>"Moderado"</formula>
    </cfRule>
    <cfRule type="cellIs" dxfId="307" priority="321" operator="equal">
      <formula>"Menor"</formula>
    </cfRule>
    <cfRule type="cellIs" dxfId="306" priority="322" operator="equal">
      <formula>"Leve"</formula>
    </cfRule>
  </conditionalFormatting>
  <conditionalFormatting sqref="AE51:AE56">
    <cfRule type="cellIs" dxfId="305" priority="314" operator="equal">
      <formula>"Extremo"</formula>
    </cfRule>
    <cfRule type="cellIs" dxfId="304" priority="315" operator="equal">
      <formula>"Alto"</formula>
    </cfRule>
    <cfRule type="cellIs" dxfId="303" priority="316" operator="equal">
      <formula>"Moderado"</formula>
    </cfRule>
    <cfRule type="cellIs" dxfId="302" priority="317" operator="equal">
      <formula>"Bajo"</formula>
    </cfRule>
  </conditionalFormatting>
  <conditionalFormatting sqref="P57">
    <cfRule type="cellIs" dxfId="301" priority="300" operator="equal">
      <formula>"Extremo"</formula>
    </cfRule>
    <cfRule type="cellIs" dxfId="300" priority="301" operator="equal">
      <formula>"Alto"</formula>
    </cfRule>
    <cfRule type="cellIs" dxfId="299" priority="302" operator="equal">
      <formula>"Moderado"</formula>
    </cfRule>
    <cfRule type="cellIs" dxfId="298" priority="303" operator="equal">
      <formula>"Bajo"</formula>
    </cfRule>
  </conditionalFormatting>
  <conditionalFormatting sqref="AA57:AA62">
    <cfRule type="cellIs" dxfId="297" priority="295" operator="equal">
      <formula>"Muy Alta"</formula>
    </cfRule>
    <cfRule type="cellIs" dxfId="296" priority="296" operator="equal">
      <formula>"Alta"</formula>
    </cfRule>
    <cfRule type="cellIs" dxfId="295" priority="297" operator="equal">
      <formula>"Media"</formula>
    </cfRule>
    <cfRule type="cellIs" dxfId="294" priority="298" operator="equal">
      <formula>"Baja"</formula>
    </cfRule>
    <cfRule type="cellIs" dxfId="293" priority="299" operator="equal">
      <formula>"Muy Baja"</formula>
    </cfRule>
  </conditionalFormatting>
  <conditionalFormatting sqref="AC57:AC62">
    <cfRule type="cellIs" dxfId="292" priority="290" operator="equal">
      <formula>"Catastrófico"</formula>
    </cfRule>
    <cfRule type="cellIs" dxfId="291" priority="291" operator="equal">
      <formula>"Mayor"</formula>
    </cfRule>
    <cfRule type="cellIs" dxfId="290" priority="292" operator="equal">
      <formula>"Moderado"</formula>
    </cfRule>
    <cfRule type="cellIs" dxfId="289" priority="293" operator="equal">
      <formula>"Menor"</formula>
    </cfRule>
    <cfRule type="cellIs" dxfId="288" priority="294" operator="equal">
      <formula>"Leve"</formula>
    </cfRule>
  </conditionalFormatting>
  <conditionalFormatting sqref="AE57:AE62">
    <cfRule type="cellIs" dxfId="287" priority="286" operator="equal">
      <formula>"Extremo"</formula>
    </cfRule>
    <cfRule type="cellIs" dxfId="286" priority="287" operator="equal">
      <formula>"Alto"</formula>
    </cfRule>
    <cfRule type="cellIs" dxfId="285" priority="288" operator="equal">
      <formula>"Moderado"</formula>
    </cfRule>
    <cfRule type="cellIs" dxfId="284" priority="289" operator="equal">
      <formula>"Bajo"</formula>
    </cfRule>
  </conditionalFormatting>
  <conditionalFormatting sqref="J63">
    <cfRule type="cellIs" dxfId="283" priority="281" operator="equal">
      <formula>"Muy Alta"</formula>
    </cfRule>
    <cfRule type="cellIs" dxfId="282" priority="282" operator="equal">
      <formula>"Alta"</formula>
    </cfRule>
    <cfRule type="cellIs" dxfId="281" priority="283" operator="equal">
      <formula>"Media"</formula>
    </cfRule>
    <cfRule type="cellIs" dxfId="280" priority="284" operator="equal">
      <formula>"Baja"</formula>
    </cfRule>
    <cfRule type="cellIs" dxfId="279" priority="285" operator="equal">
      <formula>"Muy Baja"</formula>
    </cfRule>
  </conditionalFormatting>
  <conditionalFormatting sqref="P63">
    <cfRule type="cellIs" dxfId="278" priority="272" operator="equal">
      <formula>"Extremo"</formula>
    </cfRule>
    <cfRule type="cellIs" dxfId="277" priority="273" operator="equal">
      <formula>"Alto"</formula>
    </cfRule>
    <cfRule type="cellIs" dxfId="276" priority="274" operator="equal">
      <formula>"Moderado"</formula>
    </cfRule>
    <cfRule type="cellIs" dxfId="275" priority="275" operator="equal">
      <formula>"Bajo"</formula>
    </cfRule>
  </conditionalFormatting>
  <conditionalFormatting sqref="AA63:AA68">
    <cfRule type="cellIs" dxfId="274" priority="267" operator="equal">
      <formula>"Muy Alta"</formula>
    </cfRule>
    <cfRule type="cellIs" dxfId="273" priority="268" operator="equal">
      <formula>"Alta"</formula>
    </cfRule>
    <cfRule type="cellIs" dxfId="272" priority="269" operator="equal">
      <formula>"Media"</formula>
    </cfRule>
    <cfRule type="cellIs" dxfId="271" priority="270" operator="equal">
      <formula>"Baja"</formula>
    </cfRule>
    <cfRule type="cellIs" dxfId="270" priority="271" operator="equal">
      <formula>"Muy Baja"</formula>
    </cfRule>
  </conditionalFormatting>
  <conditionalFormatting sqref="AC63:AC68">
    <cfRule type="cellIs" dxfId="269" priority="262" operator="equal">
      <formula>"Catastrófico"</formula>
    </cfRule>
    <cfRule type="cellIs" dxfId="268" priority="263" operator="equal">
      <formula>"Mayor"</formula>
    </cfRule>
    <cfRule type="cellIs" dxfId="267" priority="264" operator="equal">
      <formula>"Moderado"</formula>
    </cfRule>
    <cfRule type="cellIs" dxfId="266" priority="265" operator="equal">
      <formula>"Menor"</formula>
    </cfRule>
    <cfRule type="cellIs" dxfId="265" priority="266" operator="equal">
      <formula>"Leve"</formula>
    </cfRule>
  </conditionalFormatting>
  <conditionalFormatting sqref="AE63:AE68">
    <cfRule type="cellIs" dxfId="264" priority="258" operator="equal">
      <formula>"Extremo"</formula>
    </cfRule>
    <cfRule type="cellIs" dxfId="263" priority="259" operator="equal">
      <formula>"Alto"</formula>
    </cfRule>
    <cfRule type="cellIs" dxfId="262" priority="260" operator="equal">
      <formula>"Moderado"</formula>
    </cfRule>
    <cfRule type="cellIs" dxfId="261" priority="261" operator="equal">
      <formula>"Bajo"</formula>
    </cfRule>
  </conditionalFormatting>
  <conditionalFormatting sqref="M15:M68">
    <cfRule type="containsText" dxfId="260" priority="257" operator="containsText" text="❌">
      <formula>NOT(ISERROR(SEARCH("❌",M15)))</formula>
    </cfRule>
  </conditionalFormatting>
  <conditionalFormatting sqref="J69 J75">
    <cfRule type="cellIs" dxfId="259" priority="252" operator="equal">
      <formula>"Muy Alta"</formula>
    </cfRule>
    <cfRule type="cellIs" dxfId="258" priority="253" operator="equal">
      <formula>"Alta"</formula>
    </cfRule>
    <cfRule type="cellIs" dxfId="257" priority="254" operator="equal">
      <formula>"Media"</formula>
    </cfRule>
    <cfRule type="cellIs" dxfId="256" priority="255" operator="equal">
      <formula>"Baja"</formula>
    </cfRule>
    <cfRule type="cellIs" dxfId="255" priority="256" operator="equal">
      <formula>"Muy Baja"</formula>
    </cfRule>
  </conditionalFormatting>
  <conditionalFormatting sqref="N69 N75 N81 N87 N93 N99 N105 N111 N117 N123">
    <cfRule type="cellIs" dxfId="254" priority="247" operator="equal">
      <formula>"Catastrófico"</formula>
    </cfRule>
    <cfRule type="cellIs" dxfId="253" priority="248" operator="equal">
      <formula>"Mayor"</formula>
    </cfRule>
    <cfRule type="cellIs" dxfId="252" priority="249" operator="equal">
      <formula>"Moderado"</formula>
    </cfRule>
    <cfRule type="cellIs" dxfId="251" priority="250" operator="equal">
      <formula>"Menor"</formula>
    </cfRule>
    <cfRule type="cellIs" dxfId="250" priority="251" operator="equal">
      <formula>"Leve"</formula>
    </cfRule>
  </conditionalFormatting>
  <conditionalFormatting sqref="P69">
    <cfRule type="cellIs" dxfId="249" priority="243" operator="equal">
      <formula>"Extremo"</formula>
    </cfRule>
    <cfRule type="cellIs" dxfId="248" priority="244" operator="equal">
      <formula>"Alto"</formula>
    </cfRule>
    <cfRule type="cellIs" dxfId="247" priority="245" operator="equal">
      <formula>"Moderado"</formula>
    </cfRule>
    <cfRule type="cellIs" dxfId="246" priority="246" operator="equal">
      <formula>"Bajo"</formula>
    </cfRule>
  </conditionalFormatting>
  <conditionalFormatting sqref="AA69:AA74">
    <cfRule type="cellIs" dxfId="245" priority="238" operator="equal">
      <formula>"Muy Alta"</formula>
    </cfRule>
    <cfRule type="cellIs" dxfId="244" priority="239" operator="equal">
      <formula>"Alta"</formula>
    </cfRule>
    <cfRule type="cellIs" dxfId="243" priority="240" operator="equal">
      <formula>"Media"</formula>
    </cfRule>
    <cfRule type="cellIs" dxfId="242" priority="241" operator="equal">
      <formula>"Baja"</formula>
    </cfRule>
    <cfRule type="cellIs" dxfId="241" priority="242" operator="equal">
      <formula>"Muy Baja"</formula>
    </cfRule>
  </conditionalFormatting>
  <conditionalFormatting sqref="AC69:AC74">
    <cfRule type="cellIs" dxfId="240" priority="233" operator="equal">
      <formula>"Catastrófico"</formula>
    </cfRule>
    <cfRule type="cellIs" dxfId="239" priority="234" operator="equal">
      <formula>"Mayor"</formula>
    </cfRule>
    <cfRule type="cellIs" dxfId="238" priority="235" operator="equal">
      <formula>"Moderado"</formula>
    </cfRule>
    <cfRule type="cellIs" dxfId="237" priority="236" operator="equal">
      <formula>"Menor"</formula>
    </cfRule>
    <cfRule type="cellIs" dxfId="236" priority="237" operator="equal">
      <formula>"Leve"</formula>
    </cfRule>
  </conditionalFormatting>
  <conditionalFormatting sqref="AE69:AE74">
    <cfRule type="cellIs" dxfId="235" priority="229" operator="equal">
      <formula>"Extremo"</formula>
    </cfRule>
    <cfRule type="cellIs" dxfId="234" priority="230" operator="equal">
      <formula>"Alto"</formula>
    </cfRule>
    <cfRule type="cellIs" dxfId="233" priority="231" operator="equal">
      <formula>"Moderado"</formula>
    </cfRule>
    <cfRule type="cellIs" dxfId="232" priority="232" operator="equal">
      <formula>"Bajo"</formula>
    </cfRule>
  </conditionalFormatting>
  <conditionalFormatting sqref="J117">
    <cfRule type="cellIs" dxfId="231" priority="68" operator="equal">
      <formula>"Muy Alta"</formula>
    </cfRule>
    <cfRule type="cellIs" dxfId="230" priority="69" operator="equal">
      <formula>"Alta"</formula>
    </cfRule>
    <cfRule type="cellIs" dxfId="229" priority="70" operator="equal">
      <formula>"Media"</formula>
    </cfRule>
    <cfRule type="cellIs" dxfId="228" priority="71" operator="equal">
      <formula>"Baja"</formula>
    </cfRule>
    <cfRule type="cellIs" dxfId="227" priority="72" operator="equal">
      <formula>"Muy Baja"</formula>
    </cfRule>
  </conditionalFormatting>
  <conditionalFormatting sqref="P75">
    <cfRule type="cellIs" dxfId="226" priority="225" operator="equal">
      <formula>"Extremo"</formula>
    </cfRule>
    <cfRule type="cellIs" dxfId="225" priority="226" operator="equal">
      <formula>"Alto"</formula>
    </cfRule>
    <cfRule type="cellIs" dxfId="224" priority="227" operator="equal">
      <formula>"Moderado"</formula>
    </cfRule>
    <cfRule type="cellIs" dxfId="223" priority="228" operator="equal">
      <formula>"Bajo"</formula>
    </cfRule>
  </conditionalFormatting>
  <conditionalFormatting sqref="AA75:AA80">
    <cfRule type="cellIs" dxfId="222" priority="220" operator="equal">
      <formula>"Muy Alta"</formula>
    </cfRule>
    <cfRule type="cellIs" dxfId="221" priority="221" operator="equal">
      <formula>"Alta"</formula>
    </cfRule>
    <cfRule type="cellIs" dxfId="220" priority="222" operator="equal">
      <formula>"Media"</formula>
    </cfRule>
    <cfRule type="cellIs" dxfId="219" priority="223" operator="equal">
      <formula>"Baja"</formula>
    </cfRule>
    <cfRule type="cellIs" dxfId="218" priority="224" operator="equal">
      <formula>"Muy Baja"</formula>
    </cfRule>
  </conditionalFormatting>
  <conditionalFormatting sqref="AC75:AC80">
    <cfRule type="cellIs" dxfId="217" priority="215" operator="equal">
      <formula>"Catastrófico"</formula>
    </cfRule>
    <cfRule type="cellIs" dxfId="216" priority="216" operator="equal">
      <formula>"Mayor"</formula>
    </cfRule>
    <cfRule type="cellIs" dxfId="215" priority="217" operator="equal">
      <formula>"Moderado"</formula>
    </cfRule>
    <cfRule type="cellIs" dxfId="214" priority="218" operator="equal">
      <formula>"Menor"</formula>
    </cfRule>
    <cfRule type="cellIs" dxfId="213" priority="219" operator="equal">
      <formula>"Leve"</formula>
    </cfRule>
  </conditionalFormatting>
  <conditionalFormatting sqref="AE75:AE80">
    <cfRule type="cellIs" dxfId="212" priority="211" operator="equal">
      <formula>"Extremo"</formula>
    </cfRule>
    <cfRule type="cellIs" dxfId="211" priority="212" operator="equal">
      <formula>"Alto"</formula>
    </cfRule>
    <cfRule type="cellIs" dxfId="210" priority="213" operator="equal">
      <formula>"Moderado"</formula>
    </cfRule>
    <cfRule type="cellIs" dxfId="209" priority="214" operator="equal">
      <formula>"Bajo"</formula>
    </cfRule>
  </conditionalFormatting>
  <conditionalFormatting sqref="J81">
    <cfRule type="cellIs" dxfId="208" priority="206" operator="equal">
      <formula>"Muy Alta"</formula>
    </cfRule>
    <cfRule type="cellIs" dxfId="207" priority="207" operator="equal">
      <formula>"Alta"</formula>
    </cfRule>
    <cfRule type="cellIs" dxfId="206" priority="208" operator="equal">
      <formula>"Media"</formula>
    </cfRule>
    <cfRule type="cellIs" dxfId="205" priority="209" operator="equal">
      <formula>"Baja"</formula>
    </cfRule>
    <cfRule type="cellIs" dxfId="204" priority="210" operator="equal">
      <formula>"Muy Baja"</formula>
    </cfRule>
  </conditionalFormatting>
  <conditionalFormatting sqref="P81">
    <cfRule type="cellIs" dxfId="203" priority="202" operator="equal">
      <formula>"Extremo"</formula>
    </cfRule>
    <cfRule type="cellIs" dxfId="202" priority="203" operator="equal">
      <formula>"Alto"</formula>
    </cfRule>
    <cfRule type="cellIs" dxfId="201" priority="204" operator="equal">
      <formula>"Moderado"</formula>
    </cfRule>
    <cfRule type="cellIs" dxfId="200" priority="205" operator="equal">
      <formula>"Bajo"</formula>
    </cfRule>
  </conditionalFormatting>
  <conditionalFormatting sqref="AA81:AA86">
    <cfRule type="cellIs" dxfId="199" priority="197" operator="equal">
      <formula>"Muy Alta"</formula>
    </cfRule>
    <cfRule type="cellIs" dxfId="198" priority="198" operator="equal">
      <formula>"Alta"</formula>
    </cfRule>
    <cfRule type="cellIs" dxfId="197" priority="199" operator="equal">
      <formula>"Media"</formula>
    </cfRule>
    <cfRule type="cellIs" dxfId="196" priority="200" operator="equal">
      <formula>"Baja"</formula>
    </cfRule>
    <cfRule type="cellIs" dxfId="195" priority="201" operator="equal">
      <formula>"Muy Baja"</formula>
    </cfRule>
  </conditionalFormatting>
  <conditionalFormatting sqref="AC81:AC86">
    <cfRule type="cellIs" dxfId="194" priority="192" operator="equal">
      <formula>"Catastrófico"</formula>
    </cfRule>
    <cfRule type="cellIs" dxfId="193" priority="193" operator="equal">
      <formula>"Mayor"</formula>
    </cfRule>
    <cfRule type="cellIs" dxfId="192" priority="194" operator="equal">
      <formula>"Moderado"</formula>
    </cfRule>
    <cfRule type="cellIs" dxfId="191" priority="195" operator="equal">
      <formula>"Menor"</formula>
    </cfRule>
    <cfRule type="cellIs" dxfId="190" priority="196" operator="equal">
      <formula>"Leve"</formula>
    </cfRule>
  </conditionalFormatting>
  <conditionalFormatting sqref="AE81:AE86">
    <cfRule type="cellIs" dxfId="189" priority="188" operator="equal">
      <formula>"Extremo"</formula>
    </cfRule>
    <cfRule type="cellIs" dxfId="188" priority="189" operator="equal">
      <formula>"Alto"</formula>
    </cfRule>
    <cfRule type="cellIs" dxfId="187" priority="190" operator="equal">
      <formula>"Moderado"</formula>
    </cfRule>
    <cfRule type="cellIs" dxfId="186" priority="191" operator="equal">
      <formula>"Bajo"</formula>
    </cfRule>
  </conditionalFormatting>
  <conditionalFormatting sqref="J87">
    <cfRule type="cellIs" dxfId="185" priority="183" operator="equal">
      <formula>"Muy Alta"</formula>
    </cfRule>
    <cfRule type="cellIs" dxfId="184" priority="184" operator="equal">
      <formula>"Alta"</formula>
    </cfRule>
    <cfRule type="cellIs" dxfId="183" priority="185" operator="equal">
      <formula>"Media"</formula>
    </cfRule>
    <cfRule type="cellIs" dxfId="182" priority="186" operator="equal">
      <formula>"Baja"</formula>
    </cfRule>
    <cfRule type="cellIs" dxfId="181" priority="187" operator="equal">
      <formula>"Muy Baja"</formula>
    </cfRule>
  </conditionalFormatting>
  <conditionalFormatting sqref="P87">
    <cfRule type="cellIs" dxfId="180" priority="179" operator="equal">
      <formula>"Extremo"</formula>
    </cfRule>
    <cfRule type="cellIs" dxfId="179" priority="180" operator="equal">
      <formula>"Alto"</formula>
    </cfRule>
    <cfRule type="cellIs" dxfId="178" priority="181" operator="equal">
      <formula>"Moderado"</formula>
    </cfRule>
    <cfRule type="cellIs" dxfId="177" priority="182" operator="equal">
      <formula>"Bajo"</formula>
    </cfRule>
  </conditionalFormatting>
  <conditionalFormatting sqref="AA87:AA92">
    <cfRule type="cellIs" dxfId="176" priority="174" operator="equal">
      <formula>"Muy Alta"</formula>
    </cfRule>
    <cfRule type="cellIs" dxfId="175" priority="175" operator="equal">
      <formula>"Alta"</formula>
    </cfRule>
    <cfRule type="cellIs" dxfId="174" priority="176" operator="equal">
      <formula>"Media"</formula>
    </cfRule>
    <cfRule type="cellIs" dxfId="173" priority="177" operator="equal">
      <formula>"Baja"</formula>
    </cfRule>
    <cfRule type="cellIs" dxfId="172" priority="178" operator="equal">
      <formula>"Muy Baja"</formula>
    </cfRule>
  </conditionalFormatting>
  <conditionalFormatting sqref="AC87:AC92">
    <cfRule type="cellIs" dxfId="171" priority="169" operator="equal">
      <formula>"Catastrófico"</formula>
    </cfRule>
    <cfRule type="cellIs" dxfId="170" priority="170" operator="equal">
      <formula>"Mayor"</formula>
    </cfRule>
    <cfRule type="cellIs" dxfId="169" priority="171" operator="equal">
      <formula>"Moderado"</formula>
    </cfRule>
    <cfRule type="cellIs" dxfId="168" priority="172" operator="equal">
      <formula>"Menor"</formula>
    </cfRule>
    <cfRule type="cellIs" dxfId="167" priority="173" operator="equal">
      <formula>"Leve"</formula>
    </cfRule>
  </conditionalFormatting>
  <conditionalFormatting sqref="AE87:AE92">
    <cfRule type="cellIs" dxfId="166" priority="165" operator="equal">
      <formula>"Extremo"</formula>
    </cfRule>
    <cfRule type="cellIs" dxfId="165" priority="166" operator="equal">
      <formula>"Alto"</formula>
    </cfRule>
    <cfRule type="cellIs" dxfId="164" priority="167" operator="equal">
      <formula>"Moderado"</formula>
    </cfRule>
    <cfRule type="cellIs" dxfId="163" priority="168" operator="equal">
      <formula>"Bajo"</formula>
    </cfRule>
  </conditionalFormatting>
  <conditionalFormatting sqref="J93">
    <cfRule type="cellIs" dxfId="162" priority="160" operator="equal">
      <formula>"Muy Alta"</formula>
    </cfRule>
    <cfRule type="cellIs" dxfId="161" priority="161" operator="equal">
      <formula>"Alta"</formula>
    </cfRule>
    <cfRule type="cellIs" dxfId="160" priority="162" operator="equal">
      <formula>"Media"</formula>
    </cfRule>
    <cfRule type="cellIs" dxfId="159" priority="163" operator="equal">
      <formula>"Baja"</formula>
    </cfRule>
    <cfRule type="cellIs" dxfId="158" priority="164" operator="equal">
      <formula>"Muy Baja"</formula>
    </cfRule>
  </conditionalFormatting>
  <conditionalFormatting sqref="P93">
    <cfRule type="cellIs" dxfId="157" priority="156" operator="equal">
      <formula>"Extremo"</formula>
    </cfRule>
    <cfRule type="cellIs" dxfId="156" priority="157" operator="equal">
      <formula>"Alto"</formula>
    </cfRule>
    <cfRule type="cellIs" dxfId="155" priority="158" operator="equal">
      <formula>"Moderado"</formula>
    </cfRule>
    <cfRule type="cellIs" dxfId="154" priority="159" operator="equal">
      <formula>"Bajo"</formula>
    </cfRule>
  </conditionalFormatting>
  <conditionalFormatting sqref="AA93:AA98">
    <cfRule type="cellIs" dxfId="153" priority="151" operator="equal">
      <formula>"Muy Alta"</formula>
    </cfRule>
    <cfRule type="cellIs" dxfId="152" priority="152" operator="equal">
      <formula>"Alta"</formula>
    </cfRule>
    <cfRule type="cellIs" dxfId="151" priority="153" operator="equal">
      <formula>"Media"</formula>
    </cfRule>
    <cfRule type="cellIs" dxfId="150" priority="154" operator="equal">
      <formula>"Baja"</formula>
    </cfRule>
    <cfRule type="cellIs" dxfId="149" priority="155" operator="equal">
      <formula>"Muy Baja"</formula>
    </cfRule>
  </conditionalFormatting>
  <conditionalFormatting sqref="AC93:AC98">
    <cfRule type="cellIs" dxfId="148" priority="146" operator="equal">
      <formula>"Catastrófico"</formula>
    </cfRule>
    <cfRule type="cellIs" dxfId="147" priority="147" operator="equal">
      <formula>"Mayor"</formula>
    </cfRule>
    <cfRule type="cellIs" dxfId="146" priority="148" operator="equal">
      <formula>"Moderado"</formula>
    </cfRule>
    <cfRule type="cellIs" dxfId="145" priority="149" operator="equal">
      <formula>"Menor"</formula>
    </cfRule>
    <cfRule type="cellIs" dxfId="144" priority="150" operator="equal">
      <formula>"Leve"</formula>
    </cfRule>
  </conditionalFormatting>
  <conditionalFormatting sqref="AE93:AE98">
    <cfRule type="cellIs" dxfId="143" priority="142" operator="equal">
      <formula>"Extremo"</formula>
    </cfRule>
    <cfRule type="cellIs" dxfId="142" priority="143" operator="equal">
      <formula>"Alto"</formula>
    </cfRule>
    <cfRule type="cellIs" dxfId="141" priority="144" operator="equal">
      <formula>"Moderado"</formula>
    </cfRule>
    <cfRule type="cellIs" dxfId="140" priority="145" operator="equal">
      <formula>"Bajo"</formula>
    </cfRule>
  </conditionalFormatting>
  <conditionalFormatting sqref="J99">
    <cfRule type="cellIs" dxfId="139" priority="137" operator="equal">
      <formula>"Muy Alta"</formula>
    </cfRule>
    <cfRule type="cellIs" dxfId="138" priority="138" operator="equal">
      <formula>"Alta"</formula>
    </cfRule>
    <cfRule type="cellIs" dxfId="137" priority="139" operator="equal">
      <formula>"Media"</formula>
    </cfRule>
    <cfRule type="cellIs" dxfId="136" priority="140" operator="equal">
      <formula>"Baja"</formula>
    </cfRule>
    <cfRule type="cellIs" dxfId="135" priority="141" operator="equal">
      <formula>"Muy Baja"</formula>
    </cfRule>
  </conditionalFormatting>
  <conditionalFormatting sqref="P99">
    <cfRule type="cellIs" dxfId="134" priority="133" operator="equal">
      <formula>"Extremo"</formula>
    </cfRule>
    <cfRule type="cellIs" dxfId="133" priority="134" operator="equal">
      <formula>"Alto"</formula>
    </cfRule>
    <cfRule type="cellIs" dxfId="132" priority="135" operator="equal">
      <formula>"Moderado"</formula>
    </cfRule>
    <cfRule type="cellIs" dxfId="131" priority="136" operator="equal">
      <formula>"Bajo"</formula>
    </cfRule>
  </conditionalFormatting>
  <conditionalFormatting sqref="AA99:AA104">
    <cfRule type="cellIs" dxfId="130" priority="128" operator="equal">
      <formula>"Muy Alta"</formula>
    </cfRule>
    <cfRule type="cellIs" dxfId="129" priority="129" operator="equal">
      <formula>"Alta"</formula>
    </cfRule>
    <cfRule type="cellIs" dxfId="128" priority="130" operator="equal">
      <formula>"Media"</formula>
    </cfRule>
    <cfRule type="cellIs" dxfId="127" priority="131" operator="equal">
      <formula>"Baja"</formula>
    </cfRule>
    <cfRule type="cellIs" dxfId="126" priority="132" operator="equal">
      <formula>"Muy Baja"</formula>
    </cfRule>
  </conditionalFormatting>
  <conditionalFormatting sqref="AC99:AC104">
    <cfRule type="cellIs" dxfId="125" priority="123" operator="equal">
      <formula>"Catastrófico"</formula>
    </cfRule>
    <cfRule type="cellIs" dxfId="124" priority="124" operator="equal">
      <formula>"Mayor"</formula>
    </cfRule>
    <cfRule type="cellIs" dxfId="123" priority="125" operator="equal">
      <formula>"Moderado"</formula>
    </cfRule>
    <cfRule type="cellIs" dxfId="122" priority="126" operator="equal">
      <formula>"Menor"</formula>
    </cfRule>
    <cfRule type="cellIs" dxfId="121" priority="127" operator="equal">
      <formula>"Leve"</formula>
    </cfRule>
  </conditionalFormatting>
  <conditionalFormatting sqref="AE99:AE104">
    <cfRule type="cellIs" dxfId="120" priority="119" operator="equal">
      <formula>"Extremo"</formula>
    </cfRule>
    <cfRule type="cellIs" dxfId="119" priority="120" operator="equal">
      <formula>"Alto"</formula>
    </cfRule>
    <cfRule type="cellIs" dxfId="118" priority="121" operator="equal">
      <formula>"Moderado"</formula>
    </cfRule>
    <cfRule type="cellIs" dxfId="117" priority="122" operator="equal">
      <formula>"Bajo"</formula>
    </cfRule>
  </conditionalFormatting>
  <conditionalFormatting sqref="J105">
    <cfRule type="cellIs" dxfId="116" priority="114" operator="equal">
      <formula>"Muy Alta"</formula>
    </cfRule>
    <cfRule type="cellIs" dxfId="115" priority="115" operator="equal">
      <formula>"Alta"</formula>
    </cfRule>
    <cfRule type="cellIs" dxfId="114" priority="116" operator="equal">
      <formula>"Media"</formula>
    </cfRule>
    <cfRule type="cellIs" dxfId="113" priority="117" operator="equal">
      <formula>"Baja"</formula>
    </cfRule>
    <cfRule type="cellIs" dxfId="112" priority="118" operator="equal">
      <formula>"Muy Baja"</formula>
    </cfRule>
  </conditionalFormatting>
  <conditionalFormatting sqref="P105">
    <cfRule type="cellIs" dxfId="111" priority="110" operator="equal">
      <formula>"Extremo"</formula>
    </cfRule>
    <cfRule type="cellIs" dxfId="110" priority="111" operator="equal">
      <formula>"Alto"</formula>
    </cfRule>
    <cfRule type="cellIs" dxfId="109" priority="112" operator="equal">
      <formula>"Moderado"</formula>
    </cfRule>
    <cfRule type="cellIs" dxfId="108" priority="113" operator="equal">
      <formula>"Bajo"</formula>
    </cfRule>
  </conditionalFormatting>
  <conditionalFormatting sqref="AA105:AA110">
    <cfRule type="cellIs" dxfId="107" priority="105" operator="equal">
      <formula>"Muy Alta"</formula>
    </cfRule>
    <cfRule type="cellIs" dxfId="106" priority="106" operator="equal">
      <formula>"Alta"</formula>
    </cfRule>
    <cfRule type="cellIs" dxfId="105" priority="107" operator="equal">
      <formula>"Media"</formula>
    </cfRule>
    <cfRule type="cellIs" dxfId="104" priority="108" operator="equal">
      <formula>"Baja"</formula>
    </cfRule>
    <cfRule type="cellIs" dxfId="103" priority="109" operator="equal">
      <formula>"Muy Baja"</formula>
    </cfRule>
  </conditionalFormatting>
  <conditionalFormatting sqref="AC105:AC110">
    <cfRule type="cellIs" dxfId="102" priority="100" operator="equal">
      <formula>"Catastrófico"</formula>
    </cfRule>
    <cfRule type="cellIs" dxfId="101" priority="101" operator="equal">
      <formula>"Mayor"</formula>
    </cfRule>
    <cfRule type="cellIs" dxfId="100" priority="102" operator="equal">
      <formula>"Moderado"</formula>
    </cfRule>
    <cfRule type="cellIs" dxfId="99" priority="103" operator="equal">
      <formula>"Menor"</formula>
    </cfRule>
    <cfRule type="cellIs" dxfId="98" priority="104" operator="equal">
      <formula>"Leve"</formula>
    </cfRule>
  </conditionalFormatting>
  <conditionalFormatting sqref="AE105:AE110">
    <cfRule type="cellIs" dxfId="97" priority="96" operator="equal">
      <formula>"Extremo"</formula>
    </cfRule>
    <cfRule type="cellIs" dxfId="96" priority="97" operator="equal">
      <formula>"Alto"</formula>
    </cfRule>
    <cfRule type="cellIs" dxfId="95" priority="98" operator="equal">
      <formula>"Moderado"</formula>
    </cfRule>
    <cfRule type="cellIs" dxfId="94" priority="99" operator="equal">
      <formula>"Bajo"</formula>
    </cfRule>
  </conditionalFormatting>
  <conditionalFormatting sqref="J111">
    <cfRule type="cellIs" dxfId="93" priority="91" operator="equal">
      <formula>"Muy Alta"</formula>
    </cfRule>
    <cfRule type="cellIs" dxfId="92" priority="92" operator="equal">
      <formula>"Alta"</formula>
    </cfRule>
    <cfRule type="cellIs" dxfId="91" priority="93" operator="equal">
      <formula>"Media"</formula>
    </cfRule>
    <cfRule type="cellIs" dxfId="90" priority="94" operator="equal">
      <formula>"Baja"</formula>
    </cfRule>
    <cfRule type="cellIs" dxfId="89" priority="95" operator="equal">
      <formula>"Muy Baja"</formula>
    </cfRule>
  </conditionalFormatting>
  <conditionalFormatting sqref="P111">
    <cfRule type="cellIs" dxfId="88" priority="87" operator="equal">
      <formula>"Extremo"</formula>
    </cfRule>
    <cfRule type="cellIs" dxfId="87" priority="88" operator="equal">
      <formula>"Alto"</formula>
    </cfRule>
    <cfRule type="cellIs" dxfId="86" priority="89" operator="equal">
      <formula>"Moderado"</formula>
    </cfRule>
    <cfRule type="cellIs" dxfId="85" priority="90" operator="equal">
      <formula>"Bajo"</formula>
    </cfRule>
  </conditionalFormatting>
  <conditionalFormatting sqref="AA111:AA116">
    <cfRule type="cellIs" dxfId="84" priority="82" operator="equal">
      <formula>"Muy Alta"</formula>
    </cfRule>
    <cfRule type="cellIs" dxfId="83" priority="83" operator="equal">
      <formula>"Alta"</formula>
    </cfRule>
    <cfRule type="cellIs" dxfId="82" priority="84" operator="equal">
      <formula>"Media"</formula>
    </cfRule>
    <cfRule type="cellIs" dxfId="81" priority="85" operator="equal">
      <formula>"Baja"</formula>
    </cfRule>
    <cfRule type="cellIs" dxfId="80" priority="86" operator="equal">
      <formula>"Muy Baja"</formula>
    </cfRule>
  </conditionalFormatting>
  <conditionalFormatting sqref="AC111:AC116">
    <cfRule type="cellIs" dxfId="79" priority="77" operator="equal">
      <formula>"Catastrófico"</formula>
    </cfRule>
    <cfRule type="cellIs" dxfId="78" priority="78" operator="equal">
      <formula>"Mayor"</formula>
    </cfRule>
    <cfRule type="cellIs" dxfId="77" priority="79" operator="equal">
      <formula>"Moderado"</formula>
    </cfRule>
    <cfRule type="cellIs" dxfId="76" priority="80" operator="equal">
      <formula>"Menor"</formula>
    </cfRule>
    <cfRule type="cellIs" dxfId="75" priority="81" operator="equal">
      <formula>"Leve"</formula>
    </cfRule>
  </conditionalFormatting>
  <conditionalFormatting sqref="AE111:AE116">
    <cfRule type="cellIs" dxfId="74" priority="73" operator="equal">
      <formula>"Extremo"</formula>
    </cfRule>
    <cfRule type="cellIs" dxfId="73" priority="74" operator="equal">
      <formula>"Alto"</formula>
    </cfRule>
    <cfRule type="cellIs" dxfId="72" priority="75" operator="equal">
      <formula>"Moderado"</formula>
    </cfRule>
    <cfRule type="cellIs" dxfId="71" priority="76" operator="equal">
      <formula>"Bajo"</formula>
    </cfRule>
  </conditionalFormatting>
  <conditionalFormatting sqref="P117">
    <cfRule type="cellIs" dxfId="70" priority="64" operator="equal">
      <formula>"Extremo"</formula>
    </cfRule>
    <cfRule type="cellIs" dxfId="69" priority="65" operator="equal">
      <formula>"Alto"</formula>
    </cfRule>
    <cfRule type="cellIs" dxfId="68" priority="66" operator="equal">
      <formula>"Moderado"</formula>
    </cfRule>
    <cfRule type="cellIs" dxfId="67" priority="67" operator="equal">
      <formula>"Bajo"</formula>
    </cfRule>
  </conditionalFormatting>
  <conditionalFormatting sqref="AA117:AA122">
    <cfRule type="cellIs" dxfId="66" priority="59" operator="equal">
      <formula>"Muy Alta"</formula>
    </cfRule>
    <cfRule type="cellIs" dxfId="65" priority="60" operator="equal">
      <formula>"Alta"</formula>
    </cfRule>
    <cfRule type="cellIs" dxfId="64" priority="61" operator="equal">
      <formula>"Media"</formula>
    </cfRule>
    <cfRule type="cellIs" dxfId="63" priority="62" operator="equal">
      <formula>"Baja"</formula>
    </cfRule>
    <cfRule type="cellIs" dxfId="62" priority="63" operator="equal">
      <formula>"Muy Baja"</formula>
    </cfRule>
  </conditionalFormatting>
  <conditionalFormatting sqref="AC117:AC122">
    <cfRule type="cellIs" dxfId="61" priority="54" operator="equal">
      <formula>"Catastrófico"</formula>
    </cfRule>
    <cfRule type="cellIs" dxfId="60" priority="55" operator="equal">
      <formula>"Mayor"</formula>
    </cfRule>
    <cfRule type="cellIs" dxfId="59" priority="56" operator="equal">
      <formula>"Moderado"</formula>
    </cfRule>
    <cfRule type="cellIs" dxfId="58" priority="57" operator="equal">
      <formula>"Menor"</formula>
    </cfRule>
    <cfRule type="cellIs" dxfId="57" priority="58" operator="equal">
      <formula>"Leve"</formula>
    </cfRule>
  </conditionalFormatting>
  <conditionalFormatting sqref="AE117:AE122">
    <cfRule type="cellIs" dxfId="56" priority="50" operator="equal">
      <formula>"Extremo"</formula>
    </cfRule>
    <cfRule type="cellIs" dxfId="55" priority="51" operator="equal">
      <formula>"Alto"</formula>
    </cfRule>
    <cfRule type="cellIs" dxfId="54" priority="52" operator="equal">
      <formula>"Moderado"</formula>
    </cfRule>
    <cfRule type="cellIs" dxfId="53" priority="53" operator="equal">
      <formula>"Bajo"</formula>
    </cfRule>
  </conditionalFormatting>
  <conditionalFormatting sqref="J123">
    <cfRule type="cellIs" dxfId="52" priority="45" operator="equal">
      <formula>"Muy Alta"</formula>
    </cfRule>
    <cfRule type="cellIs" dxfId="51" priority="46" operator="equal">
      <formula>"Alta"</formula>
    </cfRule>
    <cfRule type="cellIs" dxfId="50" priority="47" operator="equal">
      <formula>"Media"</formula>
    </cfRule>
    <cfRule type="cellIs" dxfId="49" priority="48" operator="equal">
      <formula>"Baja"</formula>
    </cfRule>
    <cfRule type="cellIs" dxfId="48" priority="49" operator="equal">
      <formula>"Muy Baja"</formula>
    </cfRule>
  </conditionalFormatting>
  <conditionalFormatting sqref="P123">
    <cfRule type="cellIs" dxfId="47" priority="41" operator="equal">
      <formula>"Extremo"</formula>
    </cfRule>
    <cfRule type="cellIs" dxfId="46" priority="42" operator="equal">
      <formula>"Alto"</formula>
    </cfRule>
    <cfRule type="cellIs" dxfId="45" priority="43" operator="equal">
      <formula>"Moderado"</formula>
    </cfRule>
    <cfRule type="cellIs" dxfId="44" priority="44" operator="equal">
      <formula>"Bajo"</formula>
    </cfRule>
  </conditionalFormatting>
  <conditionalFormatting sqref="AA123:AA128">
    <cfRule type="cellIs" dxfId="43" priority="36" operator="equal">
      <formula>"Muy Alta"</formula>
    </cfRule>
    <cfRule type="cellIs" dxfId="42" priority="37" operator="equal">
      <formula>"Alta"</formula>
    </cfRule>
    <cfRule type="cellIs" dxfId="41" priority="38" operator="equal">
      <formula>"Media"</formula>
    </cfRule>
    <cfRule type="cellIs" dxfId="40" priority="39" operator="equal">
      <formula>"Baja"</formula>
    </cfRule>
    <cfRule type="cellIs" dxfId="39" priority="40" operator="equal">
      <formula>"Muy Baja"</formula>
    </cfRule>
  </conditionalFormatting>
  <conditionalFormatting sqref="AC123:AC128">
    <cfRule type="cellIs" dxfId="38" priority="31" operator="equal">
      <formula>"Catastrófico"</formula>
    </cfRule>
    <cfRule type="cellIs" dxfId="37" priority="32" operator="equal">
      <formula>"Mayor"</formula>
    </cfRule>
    <cfRule type="cellIs" dxfId="36" priority="33" operator="equal">
      <formula>"Moderado"</formula>
    </cfRule>
    <cfRule type="cellIs" dxfId="35" priority="34" operator="equal">
      <formula>"Menor"</formula>
    </cfRule>
    <cfRule type="cellIs" dxfId="34" priority="35" operator="equal">
      <formula>"Leve"</formula>
    </cfRule>
  </conditionalFormatting>
  <conditionalFormatting sqref="AE123:AE128">
    <cfRule type="cellIs" dxfId="33" priority="27" operator="equal">
      <formula>"Extremo"</formula>
    </cfRule>
    <cfRule type="cellIs" dxfId="32" priority="28" operator="equal">
      <formula>"Alto"</formula>
    </cfRule>
    <cfRule type="cellIs" dxfId="31" priority="29" operator="equal">
      <formula>"Moderado"</formula>
    </cfRule>
    <cfRule type="cellIs" dxfId="30" priority="30" operator="equal">
      <formula>"Bajo"</formula>
    </cfRule>
  </conditionalFormatting>
  <conditionalFormatting sqref="M69:M128">
    <cfRule type="containsText" dxfId="29" priority="26" operator="containsText" text="❌">
      <formula>NOT(ISERROR(SEARCH("❌",M69)))</formula>
    </cfRule>
  </conditionalFormatting>
  <conditionalFormatting sqref="J9">
    <cfRule type="cellIs" dxfId="28" priority="21" operator="equal">
      <formula>"Muy Alta"</formula>
    </cfRule>
    <cfRule type="cellIs" dxfId="27" priority="22" operator="equal">
      <formula>"Alta"</formula>
    </cfRule>
    <cfRule type="cellIs" dxfId="26" priority="23" operator="equal">
      <formula>"Media"</formula>
    </cfRule>
    <cfRule type="cellIs" dxfId="25" priority="24" operator="equal">
      <formula>"Baja"</formula>
    </cfRule>
    <cfRule type="cellIs" dxfId="24" priority="25" operator="equal">
      <formula>"Muy Baja"</formula>
    </cfRule>
  </conditionalFormatting>
  <conditionalFormatting sqref="N9">
    <cfRule type="cellIs" dxfId="23" priority="16" operator="equal">
      <formula>"Catastrófico"</formula>
    </cfRule>
    <cfRule type="cellIs" dxfId="22" priority="17" operator="equal">
      <formula>"Mayor"</formula>
    </cfRule>
    <cfRule type="cellIs" dxfId="21" priority="18" operator="equal">
      <formula>"Moderado"</formula>
    </cfRule>
    <cfRule type="cellIs" dxfId="20" priority="19" operator="equal">
      <formula>"Menor"</formula>
    </cfRule>
    <cfRule type="cellIs" dxfId="19" priority="20" operator="equal">
      <formula>"Leve"</formula>
    </cfRule>
  </conditionalFormatting>
  <conditionalFormatting sqref="M9:M14">
    <cfRule type="containsText" dxfId="18" priority="15" operator="containsText" text="❌">
      <formula>NOT(ISERROR(SEARCH("❌",M9)))</formula>
    </cfRule>
  </conditionalFormatting>
  <conditionalFormatting sqref="AA21:AA26">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C21:AC26">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E21:AE26">
    <cfRule type="cellIs" dxfId="7" priority="1" operator="equal">
      <formula>"Extremo"</formula>
    </cfRule>
    <cfRule type="cellIs" dxfId="6" priority="2" operator="equal">
      <formula>"Alto"</formula>
    </cfRule>
    <cfRule type="cellIs" dxfId="5" priority="3" operator="equal">
      <formula>"Moderado"</formula>
    </cfRule>
    <cfRule type="cellIs" dxfId="4" priority="4" operator="equal">
      <formula>"Bajo"</formula>
    </cfRule>
  </conditionalFormatting>
  <dataValidations count="8">
    <dataValidation type="list" allowBlank="1" showInputMessage="1" showErrorMessage="1" sqref="L130">
      <formula1>"Insignificante, Menor, Moderado, Mayor, Crítico"</formula1>
    </dataValidation>
    <dataValidation type="list" allowBlank="1" showInputMessage="1" showErrorMessage="1" sqref="S130">
      <formula1>"Preventivo, Detectivo, Correctivo"</formula1>
    </dataValidation>
    <dataValidation type="list" allowBlank="1" showInputMessage="1" showErrorMessage="1" sqref="T130">
      <formula1>"Autómatico, Manual"</formula1>
    </dataValidation>
    <dataValidation type="list" allowBlank="1" showInputMessage="1" showErrorMessage="1" sqref="V130">
      <formula1>"Documentado, Sin documentar"</formula1>
    </dataValidation>
    <dataValidation type="list" allowBlank="1" showInputMessage="1" showErrorMessage="1" sqref="W130">
      <formula1>"Continua, Aleatoria "</formula1>
    </dataValidation>
    <dataValidation type="list" allowBlank="1" showInputMessage="1" showErrorMessage="1" sqref="X130">
      <formula1>"Con resgistro, Sin registro"</formula1>
    </dataValidation>
    <dataValidation type="list" allowBlank="1" showInputMessage="1" showErrorMessage="1" sqref="G9:G1048576 G6">
      <formula1>"Estratégicos, Imagen, Operativos, Financieros,Cumplimiento,Tecnológicos, Fraude, Corrupción, Imparcialidad, Confidencialidad, Seguridad de la información "</formula1>
    </dataValidation>
    <dataValidation type="list" allowBlank="1" showInputMessage="1" showErrorMessage="1" sqref="H6 H33:H1048576 H9:H27">
      <formula1>"Positivo (Oportunidad) , Negativo (Amenaza)"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'Tabla Valoración controles'!$D$4:$D$6</xm:f>
          </x14:formula1>
          <xm:sqref>T9:T128</xm:sqref>
        </x14:dataValidation>
        <x14:dataValidation type="list" allowBlank="1" showInputMessage="1" showErrorMessage="1">
          <x14:formula1>
            <xm:f>'Tabla Valoración controles'!$D$7:$D$8</xm:f>
          </x14:formula1>
          <xm:sqref>U9:U128</xm:sqref>
        </x14:dataValidation>
        <x14:dataValidation type="list" allowBlank="1" showInputMessage="1" showErrorMessage="1">
          <x14:formula1>
            <xm:f>'Tabla Valoración controles'!$D$9:$D$10</xm:f>
          </x14:formula1>
          <xm:sqref>W9:W128</xm:sqref>
        </x14:dataValidation>
        <x14:dataValidation type="list" allowBlank="1" showInputMessage="1" showErrorMessage="1">
          <x14:formula1>
            <xm:f>'Tabla Valoración controles'!$D$11:$D$12</xm:f>
          </x14:formula1>
          <xm:sqref>X9:X128</xm:sqref>
        </x14:dataValidation>
        <x14:dataValidation type="list" allowBlank="1" showInputMessage="1" showErrorMessage="1">
          <x14:formula1>
            <xm:f>'Opciones Tratamiento'!$B$9:$B$10</xm:f>
          </x14:formula1>
          <xm:sqref>AL9:AL10 AL12:AL13 AL15:AL19 AL123:AL124 AL126:AL127 AL27:AL28 AL30:AL31 AL33:AL34 AL36:AL37 AL39:AL40 AL42:AL43 AL45:AL46 AL48:AL49 AL51:AL52 AL54:AL55 AL57:AL58 AL60:AL61 AL63:AL64 AL66:AL67 AL69:AL70 AL72:AL73 AL75:AL76 AL78:AL79 AL81:AL82 AL84:AL85 AL87:AL88 AL90:AL91 AL93:AL94 AL96:AL97 AL99:AL100 AL102:AL103 AL105:AL106 AL108:AL109 AL111:AL112 AL114:AL115 AL117:AL118 AL120:AL121 AL21:AL25</xm:sqref>
        </x14:dataValidation>
        <x14:dataValidation type="list" allowBlank="1" showInputMessage="1" showErrorMessage="1">
          <x14:formula1>
            <xm:f>'Tabla Valoración controles'!$D$13:$D$14</xm:f>
          </x14:formula1>
          <xm:sqref>Y9:Y128</xm:sqref>
        </x14:dataValidation>
        <x14:dataValidation type="list" allowBlank="1" showInputMessage="1" showErrorMessage="1">
          <x14:formula1>
            <xm:f>'Opciones Tratamiento'!$B$2:$B$5</xm:f>
          </x14:formula1>
          <xm:sqref>AF9:AF128</xm:sqref>
        </x14:dataValidation>
        <x14:dataValidation type="list" allowBlank="1" showInputMessage="1" showErrorMessage="1">
          <x14:formula1>
            <xm:f>'Tabla Impacto'!$F$210:$F$221</xm:f>
          </x14:formula1>
          <xm:sqref>L9:L128</xm:sqref>
        </x14:dataValidation>
        <x14:dataValidation type="custom" allowBlank="1" showInputMessage="1" showErrorMessage="1" error="Recuerde que las acciones se generan bajo la medida de mitigar el riesgo">
          <x14:formula1>
            <xm:f>IF(OR(AF11='Opciones Tratamiento'!$B$2,AF11='Opciones Tratamiento'!$B$3,AF11='Opciones Tratamiento'!$B$4),ISBLANK(AF11),ISTEXT(AF11))</xm:f>
          </x14:formula1>
          <xm:sqref>AG11:AG128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AJ9:AJ128</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AK9:AK128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4" zoomScale="50" zoomScaleNormal="50" workbookViewId="0">
      <selection activeCell="P32" sqref="P32:U37"/>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39" t="s">
        <v>154</v>
      </c>
      <c r="C2" s="239"/>
      <c r="D2" s="239"/>
      <c r="E2" s="239"/>
      <c r="F2" s="239"/>
      <c r="G2" s="239"/>
      <c r="H2" s="239"/>
      <c r="I2" s="239"/>
      <c r="J2" s="277" t="s">
        <v>2</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39"/>
      <c r="C3" s="239"/>
      <c r="D3" s="239"/>
      <c r="E3" s="239"/>
      <c r="F3" s="239"/>
      <c r="G3" s="239"/>
      <c r="H3" s="239"/>
      <c r="I3" s="239"/>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39"/>
      <c r="C4" s="239"/>
      <c r="D4" s="239"/>
      <c r="E4" s="239"/>
      <c r="F4" s="239"/>
      <c r="G4" s="239"/>
      <c r="H4" s="239"/>
      <c r="I4" s="239"/>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89" t="s">
        <v>3</v>
      </c>
      <c r="C6" s="289"/>
      <c r="D6" s="290"/>
      <c r="E6" s="278" t="s">
        <v>112</v>
      </c>
      <c r="F6" s="279"/>
      <c r="G6" s="279"/>
      <c r="H6" s="279"/>
      <c r="I6" s="280"/>
      <c r="J6" s="274" t="str">
        <f>IF(AND('Mapa final'!$J$9="Muy Alta",'Mapa final'!$N$9="Leve"),CONCATENATE("R",'Mapa final'!$A$9),"")</f>
        <v/>
      </c>
      <c r="K6" s="275"/>
      <c r="L6" s="275" t="str">
        <f>IF(AND('Mapa final'!$J$15="Muy Alta",'Mapa final'!$N$15="Leve"),CONCATENATE("R",'Mapa final'!$A$15),"")</f>
        <v/>
      </c>
      <c r="M6" s="275"/>
      <c r="N6" s="275" t="str">
        <f>IF(AND('Mapa final'!$J$21="Muy Alta",'Mapa final'!$N$21="Leve"),CONCATENATE("R",'Mapa final'!$A$21),"")</f>
        <v/>
      </c>
      <c r="O6" s="276"/>
      <c r="P6" s="274" t="str">
        <f>IF(AND('Mapa final'!$J$9="Muy Alta",'Mapa final'!$N$9="Menor"),CONCATENATE("R",'Mapa final'!$A$9),"")</f>
        <v/>
      </c>
      <c r="Q6" s="275"/>
      <c r="R6" s="275" t="str">
        <f>IF(AND('Mapa final'!$J$15="Muy Alta",'Mapa final'!$N$15="Menor"),CONCATENATE("R",'Mapa final'!$A$15),"")</f>
        <v/>
      </c>
      <c r="S6" s="275"/>
      <c r="T6" s="275" t="str">
        <f>IF(AND('Mapa final'!$J$21="Muy Alta",'Mapa final'!$N$21="Menor"),CONCATENATE("R",'Mapa final'!$A$21),"")</f>
        <v/>
      </c>
      <c r="U6" s="276"/>
      <c r="V6" s="274" t="str">
        <f>IF(AND('Mapa final'!$J$9="Muy Alta",'Mapa final'!$N$9="Moderado"),CONCATENATE("R",'Mapa final'!$A$9),"")</f>
        <v/>
      </c>
      <c r="W6" s="275"/>
      <c r="X6" s="275" t="str">
        <f>IF(AND('Mapa final'!$J$15="Muy Alta",'Mapa final'!$N$15="Moderado"),CONCATENATE("R",'Mapa final'!$A$15),"")</f>
        <v/>
      </c>
      <c r="Y6" s="275"/>
      <c r="Z6" s="275" t="str">
        <f>IF(AND('Mapa final'!$J$21="Muy Alta",'Mapa final'!$N$21="Moderado"),CONCATENATE("R",'Mapa final'!$A$21),"")</f>
        <v/>
      </c>
      <c r="AA6" s="276"/>
      <c r="AB6" s="274" t="str">
        <f>IF(AND('Mapa final'!$J$9="Muy Alta",'Mapa final'!$N$9="Mayor"),CONCATENATE("R",'Mapa final'!$A$9),"")</f>
        <v/>
      </c>
      <c r="AC6" s="275"/>
      <c r="AD6" s="275" t="str">
        <f>IF(AND('Mapa final'!$J$15="Muy Alta",'Mapa final'!$N$15="Mayor"),CONCATENATE("R",'Mapa final'!$A$15),"")</f>
        <v/>
      </c>
      <c r="AE6" s="275"/>
      <c r="AF6" s="275" t="str">
        <f>IF(AND('Mapa final'!$J$21="Muy Alta",'Mapa final'!$N$21="Mayor"),CONCATENATE("R",'Mapa final'!$A$21),"")</f>
        <v/>
      </c>
      <c r="AG6" s="276"/>
      <c r="AH6" s="264" t="str">
        <f>IF(AND('Mapa final'!$J$9="Muy Alta",'Mapa final'!$N$9="Catastrófico"),CONCATENATE("R",'Mapa final'!$A$9),"")</f>
        <v/>
      </c>
      <c r="AI6" s="265"/>
      <c r="AJ6" s="265" t="str">
        <f>IF(AND('Mapa final'!$J$15="Muy Alta",'Mapa final'!$N$15="Catastrófico"),CONCATENATE("R",'Mapa final'!$A$15),"")</f>
        <v/>
      </c>
      <c r="AK6" s="265"/>
      <c r="AL6" s="265" t="str">
        <f>IF(AND('Mapa final'!$J$21="Muy Alta",'Mapa final'!$N$21="Catastrófico"),CONCATENATE("R",'Mapa final'!$A$21),"")</f>
        <v/>
      </c>
      <c r="AM6" s="266"/>
      <c r="AO6" s="291" t="s">
        <v>75</v>
      </c>
      <c r="AP6" s="292"/>
      <c r="AQ6" s="292"/>
      <c r="AR6" s="292"/>
      <c r="AS6" s="292"/>
      <c r="AT6" s="293"/>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89"/>
      <c r="C7" s="289"/>
      <c r="D7" s="290"/>
      <c r="E7" s="281"/>
      <c r="F7" s="282"/>
      <c r="G7" s="282"/>
      <c r="H7" s="282"/>
      <c r="I7" s="283"/>
      <c r="J7" s="267"/>
      <c r="K7" s="268"/>
      <c r="L7" s="268"/>
      <c r="M7" s="268"/>
      <c r="N7" s="268"/>
      <c r="O7" s="270"/>
      <c r="P7" s="267"/>
      <c r="Q7" s="268"/>
      <c r="R7" s="268"/>
      <c r="S7" s="268"/>
      <c r="T7" s="268"/>
      <c r="U7" s="270"/>
      <c r="V7" s="267"/>
      <c r="W7" s="268"/>
      <c r="X7" s="268"/>
      <c r="Y7" s="268"/>
      <c r="Z7" s="268"/>
      <c r="AA7" s="270"/>
      <c r="AB7" s="267"/>
      <c r="AC7" s="268"/>
      <c r="AD7" s="268"/>
      <c r="AE7" s="268"/>
      <c r="AF7" s="268"/>
      <c r="AG7" s="270"/>
      <c r="AH7" s="258"/>
      <c r="AI7" s="259"/>
      <c r="AJ7" s="259"/>
      <c r="AK7" s="259"/>
      <c r="AL7" s="259"/>
      <c r="AM7" s="260"/>
      <c r="AN7" s="70"/>
      <c r="AO7" s="294"/>
      <c r="AP7" s="295"/>
      <c r="AQ7" s="295"/>
      <c r="AR7" s="295"/>
      <c r="AS7" s="295"/>
      <c r="AT7" s="296"/>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89"/>
      <c r="C8" s="289"/>
      <c r="D8" s="290"/>
      <c r="E8" s="281"/>
      <c r="F8" s="282"/>
      <c r="G8" s="282"/>
      <c r="H8" s="282"/>
      <c r="I8" s="283"/>
      <c r="J8" s="267" t="str">
        <f>IF(AND('Mapa final'!$J$27="Muy Alta",'Mapa final'!$N$27="Leve"),CONCATENATE("R",'Mapa final'!$A$27),"")</f>
        <v/>
      </c>
      <c r="K8" s="268"/>
      <c r="L8" s="269" t="str">
        <f>IF(AND('Mapa final'!$J$33="Muy Alta",'Mapa final'!$N$33="Leve"),CONCATENATE("R",'Mapa final'!$A$33),"")</f>
        <v/>
      </c>
      <c r="M8" s="269"/>
      <c r="N8" s="269" t="str">
        <f>IF(AND('Mapa final'!$J$39="Muy Alta",'Mapa final'!$N$39="Leve"),CONCATENATE("R",'Mapa final'!$A$39),"")</f>
        <v/>
      </c>
      <c r="O8" s="270"/>
      <c r="P8" s="267" t="str">
        <f>IF(AND('Mapa final'!$J$27="Muy Alta",'Mapa final'!$N$27="Menor"),CONCATENATE("R",'Mapa final'!$A$27),"")</f>
        <v/>
      </c>
      <c r="Q8" s="268"/>
      <c r="R8" s="269" t="str">
        <f>IF(AND('Mapa final'!$J$33="Muy Alta",'Mapa final'!$N$33="Menor"),CONCATENATE("R",'Mapa final'!$A$33),"")</f>
        <v/>
      </c>
      <c r="S8" s="269"/>
      <c r="T8" s="269" t="str">
        <f>IF(AND('Mapa final'!$J$39="Muy Alta",'Mapa final'!$N$39="Menor"),CONCATENATE("R",'Mapa final'!$A$39),"")</f>
        <v/>
      </c>
      <c r="U8" s="270"/>
      <c r="V8" s="267" t="str">
        <f>IF(AND('Mapa final'!$J$27="Muy Alta",'Mapa final'!$N$27="Moderado"),CONCATENATE("R",'Mapa final'!$A$27),"")</f>
        <v/>
      </c>
      <c r="W8" s="268"/>
      <c r="X8" s="269" t="str">
        <f>IF(AND('Mapa final'!$J$33="Muy Alta",'Mapa final'!$N$33="Moderado"),CONCATENATE("R",'Mapa final'!$A$33),"")</f>
        <v/>
      </c>
      <c r="Y8" s="269"/>
      <c r="Z8" s="269" t="str">
        <f>IF(AND('Mapa final'!$J$39="Muy Alta",'Mapa final'!$N$39="Moderado"),CONCATENATE("R",'Mapa final'!$A$39),"")</f>
        <v/>
      </c>
      <c r="AA8" s="270"/>
      <c r="AB8" s="267" t="str">
        <f>IF(AND('Mapa final'!$J$27="Muy Alta",'Mapa final'!$N$27="Mayor"),CONCATENATE("R",'Mapa final'!$A$27),"")</f>
        <v/>
      </c>
      <c r="AC8" s="268"/>
      <c r="AD8" s="269" t="str">
        <f>IF(AND('Mapa final'!$J$33="Muy Alta",'Mapa final'!$N$33="Mayor"),CONCATENATE("R",'Mapa final'!$A$33),"")</f>
        <v/>
      </c>
      <c r="AE8" s="269"/>
      <c r="AF8" s="269" t="str">
        <f>IF(AND('Mapa final'!$J$39="Muy Alta",'Mapa final'!$N$39="Mayor"),CONCATENATE("R",'Mapa final'!$A$39),"")</f>
        <v/>
      </c>
      <c r="AG8" s="270"/>
      <c r="AH8" s="258" t="str">
        <f>IF(AND('Mapa final'!$J$27="Muy Alta",'Mapa final'!$N$27="Catastrófico"),CONCATENATE("R",'Mapa final'!$A$27),"")</f>
        <v/>
      </c>
      <c r="AI8" s="259"/>
      <c r="AJ8" s="259" t="str">
        <f>IF(AND('Mapa final'!$J$33="Muy Alta",'Mapa final'!$N$33="Catastrófico"),CONCATENATE("R",'Mapa final'!$A$33),"")</f>
        <v/>
      </c>
      <c r="AK8" s="259"/>
      <c r="AL8" s="259" t="str">
        <f>IF(AND('Mapa final'!$J$39="Muy Alta",'Mapa final'!$N$39="Catastrófico"),CONCATENATE("R",'Mapa final'!$A$39),"")</f>
        <v/>
      </c>
      <c r="AM8" s="260"/>
      <c r="AN8" s="70"/>
      <c r="AO8" s="294"/>
      <c r="AP8" s="295"/>
      <c r="AQ8" s="295"/>
      <c r="AR8" s="295"/>
      <c r="AS8" s="295"/>
      <c r="AT8" s="296"/>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89"/>
      <c r="C9" s="289"/>
      <c r="D9" s="290"/>
      <c r="E9" s="281"/>
      <c r="F9" s="282"/>
      <c r="G9" s="282"/>
      <c r="H9" s="282"/>
      <c r="I9" s="283"/>
      <c r="J9" s="267"/>
      <c r="K9" s="268"/>
      <c r="L9" s="269"/>
      <c r="M9" s="269"/>
      <c r="N9" s="269"/>
      <c r="O9" s="270"/>
      <c r="P9" s="267"/>
      <c r="Q9" s="268"/>
      <c r="R9" s="269"/>
      <c r="S9" s="269"/>
      <c r="T9" s="269"/>
      <c r="U9" s="270"/>
      <c r="V9" s="267"/>
      <c r="W9" s="268"/>
      <c r="X9" s="269"/>
      <c r="Y9" s="269"/>
      <c r="Z9" s="269"/>
      <c r="AA9" s="270"/>
      <c r="AB9" s="267"/>
      <c r="AC9" s="268"/>
      <c r="AD9" s="269"/>
      <c r="AE9" s="269"/>
      <c r="AF9" s="269"/>
      <c r="AG9" s="270"/>
      <c r="AH9" s="258"/>
      <c r="AI9" s="259"/>
      <c r="AJ9" s="259"/>
      <c r="AK9" s="259"/>
      <c r="AL9" s="259"/>
      <c r="AM9" s="260"/>
      <c r="AN9" s="70"/>
      <c r="AO9" s="294"/>
      <c r="AP9" s="295"/>
      <c r="AQ9" s="295"/>
      <c r="AR9" s="295"/>
      <c r="AS9" s="295"/>
      <c r="AT9" s="296"/>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89"/>
      <c r="C10" s="289"/>
      <c r="D10" s="290"/>
      <c r="E10" s="281"/>
      <c r="F10" s="282"/>
      <c r="G10" s="282"/>
      <c r="H10" s="282"/>
      <c r="I10" s="283"/>
      <c r="J10" s="267" t="str">
        <f>IF(AND('Mapa final'!$J$45="Muy Alta",'Mapa final'!$N$45="Leve"),CONCATENATE("R",'Mapa final'!$A$45),"")</f>
        <v/>
      </c>
      <c r="K10" s="268"/>
      <c r="L10" s="269" t="str">
        <f>IF(AND('Mapa final'!$J$51="Muy Alta",'Mapa final'!$N$51="Leve"),CONCATENATE("R",'Mapa final'!$A$51),"")</f>
        <v/>
      </c>
      <c r="M10" s="269"/>
      <c r="N10" s="269" t="str">
        <f>IF(AND('Mapa final'!$J$57="Muy Alta",'Mapa final'!$N$57="Leve"),CONCATENATE("R",'Mapa final'!$A$57),"")</f>
        <v/>
      </c>
      <c r="O10" s="270"/>
      <c r="P10" s="267" t="str">
        <f>IF(AND('Mapa final'!$J$45="Muy Alta",'Mapa final'!$N$45="Menor"),CONCATENATE("R",'Mapa final'!$A$45),"")</f>
        <v/>
      </c>
      <c r="Q10" s="268"/>
      <c r="R10" s="269" t="str">
        <f>IF(AND('Mapa final'!$J$51="Muy Alta",'Mapa final'!$N$51="Menor"),CONCATENATE("R",'Mapa final'!$A$51),"")</f>
        <v/>
      </c>
      <c r="S10" s="269"/>
      <c r="T10" s="269" t="str">
        <f>IF(AND('Mapa final'!$J$57="Muy Alta",'Mapa final'!$N$57="Menor"),CONCATENATE("R",'Mapa final'!$A$57),"")</f>
        <v/>
      </c>
      <c r="U10" s="270"/>
      <c r="V10" s="267" t="str">
        <f>IF(AND('Mapa final'!$J$45="Muy Alta",'Mapa final'!$N$45="Moderado"),CONCATENATE("R",'Mapa final'!$A$45),"")</f>
        <v/>
      </c>
      <c r="W10" s="268"/>
      <c r="X10" s="269" t="str">
        <f>IF(AND('Mapa final'!$J$51="Muy Alta",'Mapa final'!$N$51="Moderado"),CONCATENATE("R",'Mapa final'!$A$51),"")</f>
        <v/>
      </c>
      <c r="Y10" s="269"/>
      <c r="Z10" s="269" t="str">
        <f>IF(AND('Mapa final'!$J$57="Muy Alta",'Mapa final'!$N$57="Moderado"),CONCATENATE("R",'Mapa final'!$A$57),"")</f>
        <v/>
      </c>
      <c r="AA10" s="270"/>
      <c r="AB10" s="267" t="str">
        <f>IF(AND('Mapa final'!$J$45="Muy Alta",'Mapa final'!$N$45="Mayor"),CONCATENATE("R",'Mapa final'!$A$45),"")</f>
        <v/>
      </c>
      <c r="AC10" s="268"/>
      <c r="AD10" s="269" t="str">
        <f>IF(AND('Mapa final'!$J$51="Muy Alta",'Mapa final'!$N$51="Mayor"),CONCATENATE("R",'Mapa final'!$A$51),"")</f>
        <v/>
      </c>
      <c r="AE10" s="269"/>
      <c r="AF10" s="269" t="str">
        <f>IF(AND('Mapa final'!$J$57="Muy Alta",'Mapa final'!$N$57="Mayor"),CONCATENATE("R",'Mapa final'!$A$57),"")</f>
        <v/>
      </c>
      <c r="AG10" s="270"/>
      <c r="AH10" s="258" t="str">
        <f>IF(AND('Mapa final'!$J$45="Muy Alta",'Mapa final'!$N$45="Catastrófico"),CONCATENATE("R",'Mapa final'!$A$45),"")</f>
        <v/>
      </c>
      <c r="AI10" s="259"/>
      <c r="AJ10" s="259" t="str">
        <f>IF(AND('Mapa final'!$J$51="Muy Alta",'Mapa final'!$N$51="Catastrófico"),CONCATENATE("R",'Mapa final'!$A$51),"")</f>
        <v/>
      </c>
      <c r="AK10" s="259"/>
      <c r="AL10" s="259" t="str">
        <f>IF(AND('Mapa final'!$J$57="Muy Alta",'Mapa final'!$N$57="Catastrófico"),CONCATENATE("R",'Mapa final'!$A$57),"")</f>
        <v/>
      </c>
      <c r="AM10" s="260"/>
      <c r="AN10" s="70"/>
      <c r="AO10" s="294"/>
      <c r="AP10" s="295"/>
      <c r="AQ10" s="295"/>
      <c r="AR10" s="295"/>
      <c r="AS10" s="295"/>
      <c r="AT10" s="296"/>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89"/>
      <c r="C11" s="289"/>
      <c r="D11" s="290"/>
      <c r="E11" s="281"/>
      <c r="F11" s="282"/>
      <c r="G11" s="282"/>
      <c r="H11" s="282"/>
      <c r="I11" s="283"/>
      <c r="J11" s="267"/>
      <c r="K11" s="268"/>
      <c r="L11" s="269"/>
      <c r="M11" s="269"/>
      <c r="N11" s="269"/>
      <c r="O11" s="270"/>
      <c r="P11" s="267"/>
      <c r="Q11" s="268"/>
      <c r="R11" s="269"/>
      <c r="S11" s="269"/>
      <c r="T11" s="269"/>
      <c r="U11" s="270"/>
      <c r="V11" s="267"/>
      <c r="W11" s="268"/>
      <c r="X11" s="269"/>
      <c r="Y11" s="269"/>
      <c r="Z11" s="269"/>
      <c r="AA11" s="270"/>
      <c r="AB11" s="267"/>
      <c r="AC11" s="268"/>
      <c r="AD11" s="269"/>
      <c r="AE11" s="269"/>
      <c r="AF11" s="269"/>
      <c r="AG11" s="270"/>
      <c r="AH11" s="258"/>
      <c r="AI11" s="259"/>
      <c r="AJ11" s="259"/>
      <c r="AK11" s="259"/>
      <c r="AL11" s="259"/>
      <c r="AM11" s="260"/>
      <c r="AN11" s="70"/>
      <c r="AO11" s="294"/>
      <c r="AP11" s="295"/>
      <c r="AQ11" s="295"/>
      <c r="AR11" s="295"/>
      <c r="AS11" s="295"/>
      <c r="AT11" s="296"/>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89"/>
      <c r="C12" s="289"/>
      <c r="D12" s="290"/>
      <c r="E12" s="281"/>
      <c r="F12" s="282"/>
      <c r="G12" s="282"/>
      <c r="H12" s="282"/>
      <c r="I12" s="283"/>
      <c r="J12" s="267" t="str">
        <f>IF(AND('Mapa final'!$J$63="Muy Alta",'Mapa final'!$N$63="Leve"),CONCATENATE("R",'Mapa final'!$A$63),"")</f>
        <v/>
      </c>
      <c r="K12" s="268"/>
      <c r="L12" s="269" t="str">
        <f>IF(AND('Mapa final'!$J$70="Muy Alta",'Mapa final'!$N$70="Leve"),CONCATENATE("R",'Mapa final'!$A$70),"")</f>
        <v/>
      </c>
      <c r="M12" s="269"/>
      <c r="N12" s="269" t="str">
        <f>IF(AND('Mapa final'!$J$76="Muy Alta",'Mapa final'!$N$76="Leve"),CONCATENATE("R",'Mapa final'!$A$76),"")</f>
        <v/>
      </c>
      <c r="O12" s="270"/>
      <c r="P12" s="267" t="str">
        <f>IF(AND('Mapa final'!$J$63="Muy Alta",'Mapa final'!$N$63="Menor"),CONCATENATE("R",'Mapa final'!$A$63),"")</f>
        <v/>
      </c>
      <c r="Q12" s="268"/>
      <c r="R12" s="269" t="str">
        <f>IF(AND('Mapa final'!$J$70="Muy Alta",'Mapa final'!$N$70="Menor"),CONCATENATE("R",'Mapa final'!$A$70),"")</f>
        <v/>
      </c>
      <c r="S12" s="269"/>
      <c r="T12" s="269" t="str">
        <f>IF(AND('Mapa final'!$J$76="Muy Alta",'Mapa final'!$N$76="Menor"),CONCATENATE("R",'Mapa final'!$A$76),"")</f>
        <v/>
      </c>
      <c r="U12" s="270"/>
      <c r="V12" s="267" t="str">
        <f>IF(AND('Mapa final'!$J$63="Muy Alta",'Mapa final'!$N$63="Moderado"),CONCATENATE("R",'Mapa final'!$A$63),"")</f>
        <v/>
      </c>
      <c r="W12" s="268"/>
      <c r="X12" s="269" t="str">
        <f>IF(AND('Mapa final'!$J$70="Muy Alta",'Mapa final'!$N$70="Moderado"),CONCATENATE("R",'Mapa final'!$A$70),"")</f>
        <v/>
      </c>
      <c r="Y12" s="269"/>
      <c r="Z12" s="269" t="str">
        <f>IF(AND('Mapa final'!$J$76="Muy Alta",'Mapa final'!$N$76="Moderado"),CONCATENATE("R",'Mapa final'!$A$76),"")</f>
        <v/>
      </c>
      <c r="AA12" s="270"/>
      <c r="AB12" s="267" t="str">
        <f>IF(AND('Mapa final'!$J$63="Muy Alta",'Mapa final'!$N$63="Mayor"),CONCATENATE("R",'Mapa final'!$A$63),"")</f>
        <v/>
      </c>
      <c r="AC12" s="268"/>
      <c r="AD12" s="269" t="str">
        <f>IF(AND('Mapa final'!$J$70="Muy Alta",'Mapa final'!$N$70="Mayor"),CONCATENATE("R",'Mapa final'!$A$70),"")</f>
        <v/>
      </c>
      <c r="AE12" s="269"/>
      <c r="AF12" s="269" t="str">
        <f>IF(AND('Mapa final'!$J$76="Muy Alta",'Mapa final'!$N$76="Mayor"),CONCATENATE("R",'Mapa final'!$A$76),"")</f>
        <v/>
      </c>
      <c r="AG12" s="270"/>
      <c r="AH12" s="258" t="str">
        <f>IF(AND('Mapa final'!$J$63="Muy Alta",'Mapa final'!$N$63="Catastrófico"),CONCATENATE("R",'Mapa final'!$A$63),"")</f>
        <v/>
      </c>
      <c r="AI12" s="259"/>
      <c r="AJ12" s="259" t="str">
        <f>IF(AND('Mapa final'!$J$70="Muy Alta",'Mapa final'!$N$70="Catastrófico"),CONCATENATE("R",'Mapa final'!$A$70),"")</f>
        <v/>
      </c>
      <c r="AK12" s="259"/>
      <c r="AL12" s="259" t="str">
        <f>IF(AND('Mapa final'!$J$76="Muy Alta",'Mapa final'!$N$76="Catastrófico"),CONCATENATE("R",'Mapa final'!$A$76),"")</f>
        <v/>
      </c>
      <c r="AM12" s="260"/>
      <c r="AN12" s="70"/>
      <c r="AO12" s="294"/>
      <c r="AP12" s="295"/>
      <c r="AQ12" s="295"/>
      <c r="AR12" s="295"/>
      <c r="AS12" s="295"/>
      <c r="AT12" s="296"/>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89"/>
      <c r="C13" s="289"/>
      <c r="D13" s="290"/>
      <c r="E13" s="284"/>
      <c r="F13" s="285"/>
      <c r="G13" s="285"/>
      <c r="H13" s="285"/>
      <c r="I13" s="286"/>
      <c r="J13" s="267"/>
      <c r="K13" s="268"/>
      <c r="L13" s="268"/>
      <c r="M13" s="268"/>
      <c r="N13" s="268"/>
      <c r="O13" s="270"/>
      <c r="P13" s="267"/>
      <c r="Q13" s="268"/>
      <c r="R13" s="268"/>
      <c r="S13" s="268"/>
      <c r="T13" s="268"/>
      <c r="U13" s="270"/>
      <c r="V13" s="267"/>
      <c r="W13" s="268"/>
      <c r="X13" s="268"/>
      <c r="Y13" s="268"/>
      <c r="Z13" s="268"/>
      <c r="AA13" s="270"/>
      <c r="AB13" s="267"/>
      <c r="AC13" s="268"/>
      <c r="AD13" s="268"/>
      <c r="AE13" s="268"/>
      <c r="AF13" s="268"/>
      <c r="AG13" s="270"/>
      <c r="AH13" s="261"/>
      <c r="AI13" s="262"/>
      <c r="AJ13" s="262"/>
      <c r="AK13" s="262"/>
      <c r="AL13" s="262"/>
      <c r="AM13" s="263"/>
      <c r="AN13" s="70"/>
      <c r="AO13" s="297"/>
      <c r="AP13" s="298"/>
      <c r="AQ13" s="298"/>
      <c r="AR13" s="298"/>
      <c r="AS13" s="298"/>
      <c r="AT13" s="29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89"/>
      <c r="C14" s="289"/>
      <c r="D14" s="290"/>
      <c r="E14" s="278" t="s">
        <v>111</v>
      </c>
      <c r="F14" s="279"/>
      <c r="G14" s="279"/>
      <c r="H14" s="279"/>
      <c r="I14" s="279"/>
      <c r="J14" s="255" t="str">
        <f>IF(AND('Mapa final'!$J$9="Alta",'Mapa final'!$N$9="Leve"),CONCATENATE("R",'Mapa final'!$A$9),"")</f>
        <v/>
      </c>
      <c r="K14" s="256"/>
      <c r="L14" s="256" t="str">
        <f>IF(AND('Mapa final'!$J$15="Alta",'Mapa final'!$N$15="Leve"),CONCATENATE("R",'Mapa final'!$A$15),"")</f>
        <v/>
      </c>
      <c r="M14" s="256"/>
      <c r="N14" s="256" t="str">
        <f>IF(AND('Mapa final'!$J$21="Alta",'Mapa final'!$N$21="Leve"),CONCATENATE("R",'Mapa final'!$A$21),"")</f>
        <v/>
      </c>
      <c r="O14" s="257"/>
      <c r="P14" s="255" t="str">
        <f>IF(AND('Mapa final'!$J$9="Alta",'Mapa final'!$N$9="Menor"),CONCATENATE("R",'Mapa final'!$A$9),"")</f>
        <v/>
      </c>
      <c r="Q14" s="256"/>
      <c r="R14" s="256" t="str">
        <f>IF(AND('Mapa final'!$J$15="Alta",'Mapa final'!$N$15="Menor"),CONCATENATE("R",'Mapa final'!$A$15),"")</f>
        <v/>
      </c>
      <c r="S14" s="256"/>
      <c r="T14" s="256" t="str">
        <f>IF(AND('Mapa final'!$J$21="Alta",'Mapa final'!$N$21="Menor"),CONCATENATE("R",'Mapa final'!$A$21),"")</f>
        <v/>
      </c>
      <c r="U14" s="257"/>
      <c r="V14" s="274" t="str">
        <f>IF(AND('Mapa final'!$J$9="Alta",'Mapa final'!$N$9="Moderado"),CONCATENATE("R",'Mapa final'!$A$9),"")</f>
        <v/>
      </c>
      <c r="W14" s="275"/>
      <c r="X14" s="275" t="str">
        <f>IF(AND('Mapa final'!$J$15="Alta",'Mapa final'!$N$15="Moderado"),CONCATENATE("R",'Mapa final'!$A$15),"")</f>
        <v/>
      </c>
      <c r="Y14" s="275"/>
      <c r="Z14" s="275" t="str">
        <f>IF(AND('Mapa final'!$J$21="Alta",'Mapa final'!$N$21="Moderado"),CONCATENATE("R",'Mapa final'!$A$21),"")</f>
        <v/>
      </c>
      <c r="AA14" s="276"/>
      <c r="AB14" s="274" t="str">
        <f>IF(AND('Mapa final'!$J$9="Alta",'Mapa final'!$N$9="Mayor"),CONCATENATE("R",'Mapa final'!$A$9),"")</f>
        <v/>
      </c>
      <c r="AC14" s="275"/>
      <c r="AD14" s="275" t="str">
        <f>IF(AND('Mapa final'!$J$15="Alta",'Mapa final'!$N$15="Mayor"),CONCATENATE("R",'Mapa final'!$A$15),"")</f>
        <v/>
      </c>
      <c r="AE14" s="275"/>
      <c r="AF14" s="275" t="str">
        <f>IF(AND('Mapa final'!$J$21="Alta",'Mapa final'!$N$21="Mayor"),CONCATENATE("R",'Mapa final'!$A$21),"")</f>
        <v/>
      </c>
      <c r="AG14" s="276"/>
      <c r="AH14" s="264" t="str">
        <f>IF(AND('Mapa final'!$J$9="Alta",'Mapa final'!$N$9="Catastrófico"),CONCATENATE("R",'Mapa final'!$A$9),"")</f>
        <v/>
      </c>
      <c r="AI14" s="265"/>
      <c r="AJ14" s="265" t="str">
        <f>IF(AND('Mapa final'!$J$15="Alta",'Mapa final'!$N$15="Catastrófico"),CONCATENATE("R",'Mapa final'!$A$15),"")</f>
        <v/>
      </c>
      <c r="AK14" s="265"/>
      <c r="AL14" s="265" t="str">
        <f>IF(AND('Mapa final'!$J$21="Alta",'Mapa final'!$N$21="Catastrófico"),CONCATENATE("R",'Mapa final'!$A$21),"")</f>
        <v/>
      </c>
      <c r="AM14" s="266"/>
      <c r="AN14" s="70"/>
      <c r="AO14" s="300" t="s">
        <v>76</v>
      </c>
      <c r="AP14" s="301"/>
      <c r="AQ14" s="301"/>
      <c r="AR14" s="301"/>
      <c r="AS14" s="301"/>
      <c r="AT14" s="302"/>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89"/>
      <c r="C15" s="289"/>
      <c r="D15" s="290"/>
      <c r="E15" s="281"/>
      <c r="F15" s="282"/>
      <c r="G15" s="282"/>
      <c r="H15" s="282"/>
      <c r="I15" s="287"/>
      <c r="J15" s="249"/>
      <c r="K15" s="250"/>
      <c r="L15" s="250"/>
      <c r="M15" s="250"/>
      <c r="N15" s="250"/>
      <c r="O15" s="251"/>
      <c r="P15" s="249"/>
      <c r="Q15" s="250"/>
      <c r="R15" s="250"/>
      <c r="S15" s="250"/>
      <c r="T15" s="250"/>
      <c r="U15" s="251"/>
      <c r="V15" s="267"/>
      <c r="W15" s="268"/>
      <c r="X15" s="268"/>
      <c r="Y15" s="268"/>
      <c r="Z15" s="268"/>
      <c r="AA15" s="270"/>
      <c r="AB15" s="267"/>
      <c r="AC15" s="268"/>
      <c r="AD15" s="268"/>
      <c r="AE15" s="268"/>
      <c r="AF15" s="268"/>
      <c r="AG15" s="270"/>
      <c r="AH15" s="258"/>
      <c r="AI15" s="259"/>
      <c r="AJ15" s="259"/>
      <c r="AK15" s="259"/>
      <c r="AL15" s="259"/>
      <c r="AM15" s="260"/>
      <c r="AN15" s="70"/>
      <c r="AO15" s="303"/>
      <c r="AP15" s="304"/>
      <c r="AQ15" s="304"/>
      <c r="AR15" s="304"/>
      <c r="AS15" s="304"/>
      <c r="AT15" s="305"/>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89"/>
      <c r="C16" s="289"/>
      <c r="D16" s="290"/>
      <c r="E16" s="281"/>
      <c r="F16" s="282"/>
      <c r="G16" s="282"/>
      <c r="H16" s="282"/>
      <c r="I16" s="287"/>
      <c r="J16" s="249" t="str">
        <f>IF(AND('Mapa final'!$J$27="Alta",'Mapa final'!$N$27="Leve"),CONCATENATE("R",'Mapa final'!$A$27),"")</f>
        <v/>
      </c>
      <c r="K16" s="250"/>
      <c r="L16" s="250" t="str">
        <f>IF(AND('Mapa final'!$J$33="Alta",'Mapa final'!$N$33="Leve"),CONCATENATE("R",'Mapa final'!$A$33),"")</f>
        <v/>
      </c>
      <c r="M16" s="250"/>
      <c r="N16" s="250" t="str">
        <f>IF(AND('Mapa final'!$J$39="Alta",'Mapa final'!$N$39="Leve"),CONCATENATE("R",'Mapa final'!$A$39),"")</f>
        <v/>
      </c>
      <c r="O16" s="251"/>
      <c r="P16" s="249" t="str">
        <f>IF(AND('Mapa final'!$J$27="Alta",'Mapa final'!$N$27="Menor"),CONCATENATE("R",'Mapa final'!$A$27),"")</f>
        <v/>
      </c>
      <c r="Q16" s="250"/>
      <c r="R16" s="250" t="str">
        <f>IF(AND('Mapa final'!$J$33="Alta",'Mapa final'!$N$33="Menor"),CONCATENATE("R",'Mapa final'!$A$33),"")</f>
        <v/>
      </c>
      <c r="S16" s="250"/>
      <c r="T16" s="250" t="str">
        <f>IF(AND('Mapa final'!$J$39="Alta",'Mapa final'!$N$39="Menor"),CONCATENATE("R",'Mapa final'!$A$39),"")</f>
        <v/>
      </c>
      <c r="U16" s="251"/>
      <c r="V16" s="267" t="str">
        <f>IF(AND('Mapa final'!$J$27="Alta",'Mapa final'!$N$27="Moderado"),CONCATENATE("R",'Mapa final'!$A$27),"")</f>
        <v/>
      </c>
      <c r="W16" s="268"/>
      <c r="X16" s="269" t="str">
        <f>IF(AND('Mapa final'!$J$33="Alta",'Mapa final'!$N$33="Moderado"),CONCATENATE("R",'Mapa final'!$A$33),"")</f>
        <v/>
      </c>
      <c r="Y16" s="269"/>
      <c r="Z16" s="269" t="str">
        <f>IF(AND('Mapa final'!$J$39="Alta",'Mapa final'!$N$39="Moderado"),CONCATENATE("R",'Mapa final'!$A$39),"")</f>
        <v/>
      </c>
      <c r="AA16" s="270"/>
      <c r="AB16" s="267" t="str">
        <f>IF(AND('Mapa final'!$J$27="Alta",'Mapa final'!$N$27="Mayor"),CONCATENATE("R",'Mapa final'!$A$27),"")</f>
        <v/>
      </c>
      <c r="AC16" s="268"/>
      <c r="AD16" s="269" t="str">
        <f>IF(AND('Mapa final'!$J$33="Alta",'Mapa final'!$N$33="Mayor"),CONCATENATE("R",'Mapa final'!$A$33),"")</f>
        <v/>
      </c>
      <c r="AE16" s="269"/>
      <c r="AF16" s="269" t="str">
        <f>IF(AND('Mapa final'!$J$39="Alta",'Mapa final'!$N$39="Mayor"),CONCATENATE("R",'Mapa final'!$A$39),"")</f>
        <v/>
      </c>
      <c r="AG16" s="270"/>
      <c r="AH16" s="258" t="str">
        <f>IF(AND('Mapa final'!$J$27="Alta",'Mapa final'!$N$27="Catastrófico"),CONCATENATE("R",'Mapa final'!$A$27),"")</f>
        <v/>
      </c>
      <c r="AI16" s="259"/>
      <c r="AJ16" s="259" t="str">
        <f>IF(AND('Mapa final'!$J$33="Alta",'Mapa final'!$N$33="Catastrófico"),CONCATENATE("R",'Mapa final'!$A$33),"")</f>
        <v/>
      </c>
      <c r="AK16" s="259"/>
      <c r="AL16" s="259" t="str">
        <f>IF(AND('Mapa final'!$J$39="Alta",'Mapa final'!$N$39="Catastrófico"),CONCATENATE("R",'Mapa final'!$A$39),"")</f>
        <v/>
      </c>
      <c r="AM16" s="260"/>
      <c r="AN16" s="70"/>
      <c r="AO16" s="303"/>
      <c r="AP16" s="304"/>
      <c r="AQ16" s="304"/>
      <c r="AR16" s="304"/>
      <c r="AS16" s="304"/>
      <c r="AT16" s="305"/>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89"/>
      <c r="C17" s="289"/>
      <c r="D17" s="290"/>
      <c r="E17" s="281"/>
      <c r="F17" s="282"/>
      <c r="G17" s="282"/>
      <c r="H17" s="282"/>
      <c r="I17" s="287"/>
      <c r="J17" s="249"/>
      <c r="K17" s="250"/>
      <c r="L17" s="250"/>
      <c r="M17" s="250"/>
      <c r="N17" s="250"/>
      <c r="O17" s="251"/>
      <c r="P17" s="249"/>
      <c r="Q17" s="250"/>
      <c r="R17" s="250"/>
      <c r="S17" s="250"/>
      <c r="T17" s="250"/>
      <c r="U17" s="251"/>
      <c r="V17" s="267"/>
      <c r="W17" s="268"/>
      <c r="X17" s="269"/>
      <c r="Y17" s="269"/>
      <c r="Z17" s="269"/>
      <c r="AA17" s="270"/>
      <c r="AB17" s="267"/>
      <c r="AC17" s="268"/>
      <c r="AD17" s="269"/>
      <c r="AE17" s="269"/>
      <c r="AF17" s="269"/>
      <c r="AG17" s="270"/>
      <c r="AH17" s="258"/>
      <c r="AI17" s="259"/>
      <c r="AJ17" s="259"/>
      <c r="AK17" s="259"/>
      <c r="AL17" s="259"/>
      <c r="AM17" s="260"/>
      <c r="AN17" s="70"/>
      <c r="AO17" s="303"/>
      <c r="AP17" s="304"/>
      <c r="AQ17" s="304"/>
      <c r="AR17" s="304"/>
      <c r="AS17" s="304"/>
      <c r="AT17" s="305"/>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89"/>
      <c r="C18" s="289"/>
      <c r="D18" s="290"/>
      <c r="E18" s="281"/>
      <c r="F18" s="282"/>
      <c r="G18" s="282"/>
      <c r="H18" s="282"/>
      <c r="I18" s="287"/>
      <c r="J18" s="249" t="str">
        <f>IF(AND('Mapa final'!$J$45="Alta",'Mapa final'!$N$45="Leve"),CONCATENATE("R",'Mapa final'!$A$45),"")</f>
        <v/>
      </c>
      <c r="K18" s="250"/>
      <c r="L18" s="250" t="str">
        <f>IF(AND('Mapa final'!$J$51="Alta",'Mapa final'!$N$51="Leve"),CONCATENATE("R",'Mapa final'!$A$51),"")</f>
        <v/>
      </c>
      <c r="M18" s="250"/>
      <c r="N18" s="250" t="str">
        <f>IF(AND('Mapa final'!$J$57="Alta",'Mapa final'!$N$57="Leve"),CONCATENATE("R",'Mapa final'!$A$57),"")</f>
        <v/>
      </c>
      <c r="O18" s="251"/>
      <c r="P18" s="249" t="str">
        <f>IF(AND('Mapa final'!$J$45="Alta",'Mapa final'!$N$45="Menor"),CONCATENATE("R",'Mapa final'!$A$45),"")</f>
        <v/>
      </c>
      <c r="Q18" s="250"/>
      <c r="R18" s="250" t="str">
        <f>IF(AND('Mapa final'!$J$51="Alta",'Mapa final'!$N$51="Menor"),CONCATENATE("R",'Mapa final'!$A$51),"")</f>
        <v/>
      </c>
      <c r="S18" s="250"/>
      <c r="T18" s="250" t="str">
        <f>IF(AND('Mapa final'!$J$57="Alta",'Mapa final'!$N$57="Menor"),CONCATENATE("R",'Mapa final'!$A$57),"")</f>
        <v/>
      </c>
      <c r="U18" s="251"/>
      <c r="V18" s="267" t="str">
        <f>IF(AND('Mapa final'!$J$45="Alta",'Mapa final'!$N$45="Moderado"),CONCATENATE("R",'Mapa final'!$A$45),"")</f>
        <v/>
      </c>
      <c r="W18" s="268"/>
      <c r="X18" s="269" t="str">
        <f>IF(AND('Mapa final'!$J$51="Alta",'Mapa final'!$N$51="Moderado"),CONCATENATE("R",'Mapa final'!$A$51),"")</f>
        <v/>
      </c>
      <c r="Y18" s="269"/>
      <c r="Z18" s="269" t="str">
        <f>IF(AND('Mapa final'!$J$57="Alta",'Mapa final'!$N$57="Moderado"),CONCATENATE("R",'Mapa final'!$A$57),"")</f>
        <v/>
      </c>
      <c r="AA18" s="270"/>
      <c r="AB18" s="267" t="str">
        <f>IF(AND('Mapa final'!$J$45="Alta",'Mapa final'!$N$45="Mayor"),CONCATENATE("R",'Mapa final'!$A$45),"")</f>
        <v/>
      </c>
      <c r="AC18" s="268"/>
      <c r="AD18" s="269" t="str">
        <f>IF(AND('Mapa final'!$J$51="Alta",'Mapa final'!$N$51="Mayor"),CONCATENATE("R",'Mapa final'!$A$51),"")</f>
        <v/>
      </c>
      <c r="AE18" s="269"/>
      <c r="AF18" s="269" t="str">
        <f>IF(AND('Mapa final'!$J$57="Alta",'Mapa final'!$N$57="Mayor"),CONCATENATE("R",'Mapa final'!$A$57),"")</f>
        <v/>
      </c>
      <c r="AG18" s="270"/>
      <c r="AH18" s="258" t="str">
        <f>IF(AND('Mapa final'!$J$45="Alta",'Mapa final'!$N$45="Catastrófico"),CONCATENATE("R",'Mapa final'!$A$45),"")</f>
        <v/>
      </c>
      <c r="AI18" s="259"/>
      <c r="AJ18" s="259" t="str">
        <f>IF(AND('Mapa final'!$J$51="Alta",'Mapa final'!$N$51="Catastrófico"),CONCATENATE("R",'Mapa final'!$A$51),"")</f>
        <v/>
      </c>
      <c r="AK18" s="259"/>
      <c r="AL18" s="259" t="str">
        <f>IF(AND('Mapa final'!$J$57="Alta",'Mapa final'!$N$57="Catastrófico"),CONCATENATE("R",'Mapa final'!$A$57),"")</f>
        <v/>
      </c>
      <c r="AM18" s="260"/>
      <c r="AN18" s="70"/>
      <c r="AO18" s="303"/>
      <c r="AP18" s="304"/>
      <c r="AQ18" s="304"/>
      <c r="AR18" s="304"/>
      <c r="AS18" s="304"/>
      <c r="AT18" s="305"/>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89"/>
      <c r="C19" s="289"/>
      <c r="D19" s="290"/>
      <c r="E19" s="281"/>
      <c r="F19" s="282"/>
      <c r="G19" s="282"/>
      <c r="H19" s="282"/>
      <c r="I19" s="287"/>
      <c r="J19" s="249"/>
      <c r="K19" s="250"/>
      <c r="L19" s="250"/>
      <c r="M19" s="250"/>
      <c r="N19" s="250"/>
      <c r="O19" s="251"/>
      <c r="P19" s="249"/>
      <c r="Q19" s="250"/>
      <c r="R19" s="250"/>
      <c r="S19" s="250"/>
      <c r="T19" s="250"/>
      <c r="U19" s="251"/>
      <c r="V19" s="267"/>
      <c r="W19" s="268"/>
      <c r="X19" s="269"/>
      <c r="Y19" s="269"/>
      <c r="Z19" s="269"/>
      <c r="AA19" s="270"/>
      <c r="AB19" s="267"/>
      <c r="AC19" s="268"/>
      <c r="AD19" s="269"/>
      <c r="AE19" s="269"/>
      <c r="AF19" s="269"/>
      <c r="AG19" s="270"/>
      <c r="AH19" s="258"/>
      <c r="AI19" s="259"/>
      <c r="AJ19" s="259"/>
      <c r="AK19" s="259"/>
      <c r="AL19" s="259"/>
      <c r="AM19" s="260"/>
      <c r="AN19" s="70"/>
      <c r="AO19" s="303"/>
      <c r="AP19" s="304"/>
      <c r="AQ19" s="304"/>
      <c r="AR19" s="304"/>
      <c r="AS19" s="304"/>
      <c r="AT19" s="305"/>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89"/>
      <c r="C20" s="289"/>
      <c r="D20" s="290"/>
      <c r="E20" s="281"/>
      <c r="F20" s="282"/>
      <c r="G20" s="282"/>
      <c r="H20" s="282"/>
      <c r="I20" s="287"/>
      <c r="J20" s="249" t="str">
        <f>IF(AND('Mapa final'!$J$63="Alta",'Mapa final'!$N$63="Leve"),CONCATENATE("R",'Mapa final'!$A$63),"")</f>
        <v/>
      </c>
      <c r="K20" s="250"/>
      <c r="L20" s="250" t="str">
        <f>IF(AND('Mapa final'!$J$70="Alta",'Mapa final'!$N$70="Leve"),CONCATENATE("R",'Mapa final'!$A$70),"")</f>
        <v/>
      </c>
      <c r="M20" s="250"/>
      <c r="N20" s="250" t="str">
        <f>IF(AND('Mapa final'!$J$76="Alta",'Mapa final'!$N$76="Leve"),CONCATENATE("R",'Mapa final'!$A$76),"")</f>
        <v/>
      </c>
      <c r="O20" s="251"/>
      <c r="P20" s="249" t="str">
        <f>IF(AND('Mapa final'!$J$63="Alta",'Mapa final'!$N$63="Menor"),CONCATENATE("R",'Mapa final'!$A$63),"")</f>
        <v/>
      </c>
      <c r="Q20" s="250"/>
      <c r="R20" s="250" t="str">
        <f>IF(AND('Mapa final'!$J$70="Alta",'Mapa final'!$N$70="Menor"),CONCATENATE("R",'Mapa final'!$A$70),"")</f>
        <v/>
      </c>
      <c r="S20" s="250"/>
      <c r="T20" s="250" t="str">
        <f>IF(AND('Mapa final'!$J$76="Alta",'Mapa final'!$N$76="Menor"),CONCATENATE("R",'Mapa final'!$A$76),"")</f>
        <v/>
      </c>
      <c r="U20" s="251"/>
      <c r="V20" s="267" t="str">
        <f>IF(AND('Mapa final'!$J$63="Alta",'Mapa final'!$N$63="Moderado"),CONCATENATE("R",'Mapa final'!$A$63),"")</f>
        <v/>
      </c>
      <c r="W20" s="268"/>
      <c r="X20" s="269" t="str">
        <f>IF(AND('Mapa final'!$J$70="Alta",'Mapa final'!$N$70="Moderado"),CONCATENATE("R",'Mapa final'!$A$70),"")</f>
        <v/>
      </c>
      <c r="Y20" s="269"/>
      <c r="Z20" s="269" t="str">
        <f>IF(AND('Mapa final'!$J$76="Alta",'Mapa final'!$N$76="Moderado"),CONCATENATE("R",'Mapa final'!$A$76),"")</f>
        <v/>
      </c>
      <c r="AA20" s="270"/>
      <c r="AB20" s="267" t="str">
        <f>IF(AND('Mapa final'!$J$63="Alta",'Mapa final'!$N$63="Mayor"),CONCATENATE("R",'Mapa final'!$A$63),"")</f>
        <v/>
      </c>
      <c r="AC20" s="268"/>
      <c r="AD20" s="269" t="str">
        <f>IF(AND('Mapa final'!$J$70="Alta",'Mapa final'!$N$70="Mayor"),CONCATENATE("R",'Mapa final'!$A$70),"")</f>
        <v/>
      </c>
      <c r="AE20" s="269"/>
      <c r="AF20" s="269" t="str">
        <f>IF(AND('Mapa final'!$J$76="Alta",'Mapa final'!$N$76="Mayor"),CONCATENATE("R",'Mapa final'!$A$76),"")</f>
        <v/>
      </c>
      <c r="AG20" s="270"/>
      <c r="AH20" s="258" t="str">
        <f>IF(AND('Mapa final'!$J$63="Alta",'Mapa final'!$N$63="Catastrófico"),CONCATENATE("R",'Mapa final'!$A$63),"")</f>
        <v/>
      </c>
      <c r="AI20" s="259"/>
      <c r="AJ20" s="259" t="str">
        <f>IF(AND('Mapa final'!$J$70="Alta",'Mapa final'!$N$70="Catastrófico"),CONCATENATE("R",'Mapa final'!$A$70),"")</f>
        <v/>
      </c>
      <c r="AK20" s="259"/>
      <c r="AL20" s="259" t="str">
        <f>IF(AND('Mapa final'!$J$76="Alta",'Mapa final'!$N$76="Catastrófico"),CONCATENATE("R",'Mapa final'!$A$76),"")</f>
        <v/>
      </c>
      <c r="AM20" s="260"/>
      <c r="AN20" s="70"/>
      <c r="AO20" s="303"/>
      <c r="AP20" s="304"/>
      <c r="AQ20" s="304"/>
      <c r="AR20" s="304"/>
      <c r="AS20" s="304"/>
      <c r="AT20" s="305"/>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89"/>
      <c r="C21" s="289"/>
      <c r="D21" s="290"/>
      <c r="E21" s="284"/>
      <c r="F21" s="285"/>
      <c r="G21" s="285"/>
      <c r="H21" s="285"/>
      <c r="I21" s="285"/>
      <c r="J21" s="252"/>
      <c r="K21" s="253"/>
      <c r="L21" s="253"/>
      <c r="M21" s="253"/>
      <c r="N21" s="253"/>
      <c r="O21" s="254"/>
      <c r="P21" s="252"/>
      <c r="Q21" s="253"/>
      <c r="R21" s="253"/>
      <c r="S21" s="253"/>
      <c r="T21" s="253"/>
      <c r="U21" s="254"/>
      <c r="V21" s="271"/>
      <c r="W21" s="272"/>
      <c r="X21" s="272"/>
      <c r="Y21" s="272"/>
      <c r="Z21" s="272"/>
      <c r="AA21" s="273"/>
      <c r="AB21" s="271"/>
      <c r="AC21" s="272"/>
      <c r="AD21" s="272"/>
      <c r="AE21" s="272"/>
      <c r="AF21" s="272"/>
      <c r="AG21" s="273"/>
      <c r="AH21" s="261"/>
      <c r="AI21" s="262"/>
      <c r="AJ21" s="262"/>
      <c r="AK21" s="262"/>
      <c r="AL21" s="262"/>
      <c r="AM21" s="263"/>
      <c r="AN21" s="70"/>
      <c r="AO21" s="306"/>
      <c r="AP21" s="307"/>
      <c r="AQ21" s="307"/>
      <c r="AR21" s="307"/>
      <c r="AS21" s="307"/>
      <c r="AT21" s="308"/>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89"/>
      <c r="C22" s="289"/>
      <c r="D22" s="290"/>
      <c r="E22" s="278" t="s">
        <v>113</v>
      </c>
      <c r="F22" s="279"/>
      <c r="G22" s="279"/>
      <c r="H22" s="279"/>
      <c r="I22" s="280"/>
      <c r="J22" s="255" t="str">
        <f>IF(AND('Mapa final'!$J$9="Media",'Mapa final'!$N$9="Leve"),CONCATENATE("R",'Mapa final'!$A$9),"")</f>
        <v/>
      </c>
      <c r="K22" s="256"/>
      <c r="L22" s="256" t="str">
        <f>IF(AND('Mapa final'!$J$15="Media",'Mapa final'!$N$15="Leve"),CONCATENATE("R",'Mapa final'!$A$15),"")</f>
        <v>R2</v>
      </c>
      <c r="M22" s="256"/>
      <c r="N22" s="256" t="str">
        <f>IF(AND('Mapa final'!$J$21="Media",'Mapa final'!$N$21="Leve"),CONCATENATE("R",'Mapa final'!$A$21),"")</f>
        <v/>
      </c>
      <c r="O22" s="257"/>
      <c r="P22" s="255" t="str">
        <f>IF(AND('Mapa final'!$J$9="Media",'Mapa final'!$N$9="Menor"),CONCATENATE("R",'Mapa final'!$A$9),"")</f>
        <v/>
      </c>
      <c r="Q22" s="256"/>
      <c r="R22" s="256" t="str">
        <f>IF(AND('Mapa final'!$J$15="Media",'Mapa final'!$N$15="Menor"),CONCATENATE("R",'Mapa final'!$A$15),"")</f>
        <v/>
      </c>
      <c r="S22" s="256"/>
      <c r="T22" s="256" t="str">
        <f>IF(AND('Mapa final'!$J$21="Media",'Mapa final'!$N$21="Menor"),CONCATENATE("R",'Mapa final'!$A$21),"")</f>
        <v/>
      </c>
      <c r="U22" s="257"/>
      <c r="V22" s="255" t="str">
        <f>IF(AND('Mapa final'!$J$9="Media",'Mapa final'!$N$9="Moderado"),CONCATENATE("R",'Mapa final'!$A$9),"")</f>
        <v/>
      </c>
      <c r="W22" s="256"/>
      <c r="X22" s="256" t="str">
        <f>IF(AND('Mapa final'!$J$15="Media",'Mapa final'!$N$15="Moderado"),CONCATENATE("R",'Mapa final'!$A$15),"")</f>
        <v/>
      </c>
      <c r="Y22" s="256"/>
      <c r="Z22" s="256" t="str">
        <f>IF(AND('Mapa final'!$J$21="Media",'Mapa final'!$N$21="Moderado"),CONCATENATE("R",'Mapa final'!$A$21),"")</f>
        <v/>
      </c>
      <c r="AA22" s="257"/>
      <c r="AB22" s="274" t="str">
        <f>IF(AND('Mapa final'!$J$9="Media",'Mapa final'!$N$9="Mayor"),CONCATENATE("R",'Mapa final'!$A$9),"")</f>
        <v>R1</v>
      </c>
      <c r="AC22" s="275"/>
      <c r="AD22" s="275" t="str">
        <f>IF(AND('Mapa final'!$J$15="Media",'Mapa final'!$N$15="Mayor"),CONCATENATE("R",'Mapa final'!$A$15),"")</f>
        <v/>
      </c>
      <c r="AE22" s="275"/>
      <c r="AF22" s="275" t="str">
        <f>IF(AND('Mapa final'!$J$21="Media",'Mapa final'!$N$21="Mayor"),CONCATENATE("R",'Mapa final'!$A$21),"")</f>
        <v>R3</v>
      </c>
      <c r="AG22" s="276"/>
      <c r="AH22" s="264" t="str">
        <f>IF(AND('Mapa final'!$J$9="Media",'Mapa final'!$N$9="Catastrófico"),CONCATENATE("R",'Mapa final'!$A$9),"")</f>
        <v/>
      </c>
      <c r="AI22" s="265"/>
      <c r="AJ22" s="265" t="str">
        <f>IF(AND('Mapa final'!$J$15="Media",'Mapa final'!$N$15="Catastrófico"),CONCATENATE("R",'Mapa final'!$A$15),"")</f>
        <v/>
      </c>
      <c r="AK22" s="265"/>
      <c r="AL22" s="265" t="str">
        <f>IF(AND('Mapa final'!$J$21="Media",'Mapa final'!$N$21="Catastrófico"),CONCATENATE("R",'Mapa final'!$A$21),"")</f>
        <v/>
      </c>
      <c r="AM22" s="266"/>
      <c r="AN22" s="70"/>
      <c r="AO22" s="309" t="s">
        <v>77</v>
      </c>
      <c r="AP22" s="310"/>
      <c r="AQ22" s="310"/>
      <c r="AR22" s="310"/>
      <c r="AS22" s="310"/>
      <c r="AT22" s="31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89"/>
      <c r="C23" s="289"/>
      <c r="D23" s="290"/>
      <c r="E23" s="281"/>
      <c r="F23" s="282"/>
      <c r="G23" s="282"/>
      <c r="H23" s="282"/>
      <c r="I23" s="283"/>
      <c r="J23" s="249"/>
      <c r="K23" s="250"/>
      <c r="L23" s="250"/>
      <c r="M23" s="250"/>
      <c r="N23" s="250"/>
      <c r="O23" s="251"/>
      <c r="P23" s="249"/>
      <c r="Q23" s="250"/>
      <c r="R23" s="250"/>
      <c r="S23" s="250"/>
      <c r="T23" s="250"/>
      <c r="U23" s="251"/>
      <c r="V23" s="249"/>
      <c r="W23" s="250"/>
      <c r="X23" s="250"/>
      <c r="Y23" s="250"/>
      <c r="Z23" s="250"/>
      <c r="AA23" s="251"/>
      <c r="AB23" s="267"/>
      <c r="AC23" s="268"/>
      <c r="AD23" s="268"/>
      <c r="AE23" s="268"/>
      <c r="AF23" s="268"/>
      <c r="AG23" s="270"/>
      <c r="AH23" s="258"/>
      <c r="AI23" s="259"/>
      <c r="AJ23" s="259"/>
      <c r="AK23" s="259"/>
      <c r="AL23" s="259"/>
      <c r="AM23" s="260"/>
      <c r="AN23" s="70"/>
      <c r="AO23" s="312"/>
      <c r="AP23" s="313"/>
      <c r="AQ23" s="313"/>
      <c r="AR23" s="313"/>
      <c r="AS23" s="313"/>
      <c r="AT23" s="314"/>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89"/>
      <c r="C24" s="289"/>
      <c r="D24" s="290"/>
      <c r="E24" s="281"/>
      <c r="F24" s="282"/>
      <c r="G24" s="282"/>
      <c r="H24" s="282"/>
      <c r="I24" s="283"/>
      <c r="J24" s="249" t="str">
        <f>IF(AND('Mapa final'!$J$27="Media",'Mapa final'!$N$27="Leve"),CONCATENATE("R",'Mapa final'!$A$27),"")</f>
        <v/>
      </c>
      <c r="K24" s="250"/>
      <c r="L24" s="250" t="str">
        <f>IF(AND('Mapa final'!$J$33="Media",'Mapa final'!$N$33="Leve"),CONCATENATE("R",'Mapa final'!$A$33),"")</f>
        <v/>
      </c>
      <c r="M24" s="250"/>
      <c r="N24" s="250" t="str">
        <f>IF(AND('Mapa final'!$J$39="Media",'Mapa final'!$N$39="Leve"),CONCATENATE("R",'Mapa final'!$A$39),"")</f>
        <v/>
      </c>
      <c r="O24" s="251"/>
      <c r="P24" s="249" t="str">
        <f>IF(AND('Mapa final'!$J$27="Media",'Mapa final'!$N$27="Menor"),CONCATENATE("R",'Mapa final'!$A$27),"")</f>
        <v/>
      </c>
      <c r="Q24" s="250"/>
      <c r="R24" s="250" t="str">
        <f>IF(AND('Mapa final'!$J$33="Media",'Mapa final'!$N$33="Menor"),CONCATENATE("R",'Mapa final'!$A$33),"")</f>
        <v/>
      </c>
      <c r="S24" s="250"/>
      <c r="T24" s="250" t="str">
        <f>IF(AND('Mapa final'!$J$39="Media",'Mapa final'!$N$39="Menor"),CONCATENATE("R",'Mapa final'!$A$39),"")</f>
        <v/>
      </c>
      <c r="U24" s="251"/>
      <c r="V24" s="249" t="str">
        <f>IF(AND('Mapa final'!$J$27="Media",'Mapa final'!$N$27="Moderado"),CONCATENATE("R",'Mapa final'!$A$27),"")</f>
        <v/>
      </c>
      <c r="W24" s="250"/>
      <c r="X24" s="250" t="str">
        <f>IF(AND('Mapa final'!$J$33="Media",'Mapa final'!$N$33="Moderado"),CONCATENATE("R",'Mapa final'!$A$33),"")</f>
        <v/>
      </c>
      <c r="Y24" s="250"/>
      <c r="Z24" s="250" t="str">
        <f>IF(AND('Mapa final'!$J$39="Media",'Mapa final'!$N$39="Moderado"),CONCATENATE("R",'Mapa final'!$A$39),"")</f>
        <v/>
      </c>
      <c r="AA24" s="251"/>
      <c r="AB24" s="267" t="str">
        <f>IF(AND('Mapa final'!$J$27="Media",'Mapa final'!$N$27="Mayor"),CONCATENATE("R",'Mapa final'!$A$27),"")</f>
        <v/>
      </c>
      <c r="AC24" s="268"/>
      <c r="AD24" s="269" t="str">
        <f>IF(AND('Mapa final'!$J$33="Media",'Mapa final'!$N$33="Mayor"),CONCATENATE("R",'Mapa final'!$A$33),"")</f>
        <v/>
      </c>
      <c r="AE24" s="269"/>
      <c r="AF24" s="269" t="str">
        <f>IF(AND('Mapa final'!$J$39="Media",'Mapa final'!$N$39="Mayor"),CONCATENATE("R",'Mapa final'!$A$39),"")</f>
        <v/>
      </c>
      <c r="AG24" s="270"/>
      <c r="AH24" s="258" t="str">
        <f>IF(AND('Mapa final'!$J$27="Media",'Mapa final'!$N$27="Catastrófico"),CONCATENATE("R",'Mapa final'!$A$27),"")</f>
        <v/>
      </c>
      <c r="AI24" s="259"/>
      <c r="AJ24" s="259" t="str">
        <f>IF(AND('Mapa final'!$J$33="Media",'Mapa final'!$N$33="Catastrófico"),CONCATENATE("R",'Mapa final'!$A$33),"")</f>
        <v/>
      </c>
      <c r="AK24" s="259"/>
      <c r="AL24" s="259" t="str">
        <f>IF(AND('Mapa final'!$J$39="Media",'Mapa final'!$N$39="Catastrófico"),CONCATENATE("R",'Mapa final'!$A$39),"")</f>
        <v/>
      </c>
      <c r="AM24" s="260"/>
      <c r="AN24" s="70"/>
      <c r="AO24" s="312"/>
      <c r="AP24" s="313"/>
      <c r="AQ24" s="313"/>
      <c r="AR24" s="313"/>
      <c r="AS24" s="313"/>
      <c r="AT24" s="314"/>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89"/>
      <c r="C25" s="289"/>
      <c r="D25" s="290"/>
      <c r="E25" s="281"/>
      <c r="F25" s="282"/>
      <c r="G25" s="282"/>
      <c r="H25" s="282"/>
      <c r="I25" s="283"/>
      <c r="J25" s="249"/>
      <c r="K25" s="250"/>
      <c r="L25" s="250"/>
      <c r="M25" s="250"/>
      <c r="N25" s="250"/>
      <c r="O25" s="251"/>
      <c r="P25" s="249"/>
      <c r="Q25" s="250"/>
      <c r="R25" s="250"/>
      <c r="S25" s="250"/>
      <c r="T25" s="250"/>
      <c r="U25" s="251"/>
      <c r="V25" s="249"/>
      <c r="W25" s="250"/>
      <c r="X25" s="250"/>
      <c r="Y25" s="250"/>
      <c r="Z25" s="250"/>
      <c r="AA25" s="251"/>
      <c r="AB25" s="267"/>
      <c r="AC25" s="268"/>
      <c r="AD25" s="269"/>
      <c r="AE25" s="269"/>
      <c r="AF25" s="269"/>
      <c r="AG25" s="270"/>
      <c r="AH25" s="258"/>
      <c r="AI25" s="259"/>
      <c r="AJ25" s="259"/>
      <c r="AK25" s="259"/>
      <c r="AL25" s="259"/>
      <c r="AM25" s="260"/>
      <c r="AN25" s="70"/>
      <c r="AO25" s="312"/>
      <c r="AP25" s="313"/>
      <c r="AQ25" s="313"/>
      <c r="AR25" s="313"/>
      <c r="AS25" s="313"/>
      <c r="AT25" s="31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89"/>
      <c r="C26" s="289"/>
      <c r="D26" s="290"/>
      <c r="E26" s="281"/>
      <c r="F26" s="282"/>
      <c r="G26" s="282"/>
      <c r="H26" s="282"/>
      <c r="I26" s="283"/>
      <c r="J26" s="249" t="str">
        <f>IF(AND('Mapa final'!$J$45="Media",'Mapa final'!$N$45="Leve"),CONCATENATE("R",'Mapa final'!$A$45),"")</f>
        <v/>
      </c>
      <c r="K26" s="250"/>
      <c r="L26" s="250" t="str">
        <f>IF(AND('Mapa final'!$J$51="Media",'Mapa final'!$N$51="Leve"),CONCATENATE("R",'Mapa final'!$A$51),"")</f>
        <v/>
      </c>
      <c r="M26" s="250"/>
      <c r="N26" s="250" t="str">
        <f>IF(AND('Mapa final'!$J$57="Media",'Mapa final'!$N$57="Leve"),CONCATENATE("R",'Mapa final'!$A$57),"")</f>
        <v/>
      </c>
      <c r="O26" s="251"/>
      <c r="P26" s="249" t="str">
        <f>IF(AND('Mapa final'!$J$45="Media",'Mapa final'!$N$45="Menor"),CONCATENATE("R",'Mapa final'!$A$45),"")</f>
        <v/>
      </c>
      <c r="Q26" s="250"/>
      <c r="R26" s="250" t="str">
        <f>IF(AND('Mapa final'!$J$51="Media",'Mapa final'!$N$51="Menor"),CONCATENATE("R",'Mapa final'!$A$51),"")</f>
        <v/>
      </c>
      <c r="S26" s="250"/>
      <c r="T26" s="250" t="str">
        <f>IF(AND('Mapa final'!$J$57="Media",'Mapa final'!$N$57="Menor"),CONCATENATE("R",'Mapa final'!$A$57),"")</f>
        <v/>
      </c>
      <c r="U26" s="251"/>
      <c r="V26" s="249" t="str">
        <f>IF(AND('Mapa final'!$J$45="Media",'Mapa final'!$N$45="Moderado"),CONCATENATE("R",'Mapa final'!$A$45),"")</f>
        <v/>
      </c>
      <c r="W26" s="250"/>
      <c r="X26" s="250" t="str">
        <f>IF(AND('Mapa final'!$J$51="Media",'Mapa final'!$N$51="Moderado"),CONCATENATE("R",'Mapa final'!$A$51),"")</f>
        <v/>
      </c>
      <c r="Y26" s="250"/>
      <c r="Z26" s="250" t="str">
        <f>IF(AND('Mapa final'!$J$57="Media",'Mapa final'!$N$57="Moderado"),CONCATENATE("R",'Mapa final'!$A$57),"")</f>
        <v/>
      </c>
      <c r="AA26" s="251"/>
      <c r="AB26" s="267" t="str">
        <f>IF(AND('Mapa final'!$J$45="Media",'Mapa final'!$N$45="Mayor"),CONCATENATE("R",'Mapa final'!$A$45),"")</f>
        <v/>
      </c>
      <c r="AC26" s="268"/>
      <c r="AD26" s="269" t="str">
        <f>IF(AND('Mapa final'!$J$51="Media",'Mapa final'!$N$51="Mayor"),CONCATENATE("R",'Mapa final'!$A$51),"")</f>
        <v/>
      </c>
      <c r="AE26" s="269"/>
      <c r="AF26" s="269" t="str">
        <f>IF(AND('Mapa final'!$J$57="Media",'Mapa final'!$N$57="Mayor"),CONCATENATE("R",'Mapa final'!$A$57),"")</f>
        <v/>
      </c>
      <c r="AG26" s="270"/>
      <c r="AH26" s="258" t="str">
        <f>IF(AND('Mapa final'!$J$45="Media",'Mapa final'!$N$45="Catastrófico"),CONCATENATE("R",'Mapa final'!$A$45),"")</f>
        <v/>
      </c>
      <c r="AI26" s="259"/>
      <c r="AJ26" s="259" t="str">
        <f>IF(AND('Mapa final'!$J$51="Media",'Mapa final'!$N$51="Catastrófico"),CONCATENATE("R",'Mapa final'!$A$51),"")</f>
        <v/>
      </c>
      <c r="AK26" s="259"/>
      <c r="AL26" s="259" t="str">
        <f>IF(AND('Mapa final'!$J$57="Media",'Mapa final'!$N$57="Catastrófico"),CONCATENATE("R",'Mapa final'!$A$57),"")</f>
        <v/>
      </c>
      <c r="AM26" s="260"/>
      <c r="AN26" s="70"/>
      <c r="AO26" s="312"/>
      <c r="AP26" s="313"/>
      <c r="AQ26" s="313"/>
      <c r="AR26" s="313"/>
      <c r="AS26" s="313"/>
      <c r="AT26" s="314"/>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89"/>
      <c r="C27" s="289"/>
      <c r="D27" s="290"/>
      <c r="E27" s="281"/>
      <c r="F27" s="282"/>
      <c r="G27" s="282"/>
      <c r="H27" s="282"/>
      <c r="I27" s="283"/>
      <c r="J27" s="249"/>
      <c r="K27" s="250"/>
      <c r="L27" s="250"/>
      <c r="M27" s="250"/>
      <c r="N27" s="250"/>
      <c r="O27" s="251"/>
      <c r="P27" s="249"/>
      <c r="Q27" s="250"/>
      <c r="R27" s="250"/>
      <c r="S27" s="250"/>
      <c r="T27" s="250"/>
      <c r="U27" s="251"/>
      <c r="V27" s="249"/>
      <c r="W27" s="250"/>
      <c r="X27" s="250"/>
      <c r="Y27" s="250"/>
      <c r="Z27" s="250"/>
      <c r="AA27" s="251"/>
      <c r="AB27" s="267"/>
      <c r="AC27" s="268"/>
      <c r="AD27" s="269"/>
      <c r="AE27" s="269"/>
      <c r="AF27" s="269"/>
      <c r="AG27" s="270"/>
      <c r="AH27" s="258"/>
      <c r="AI27" s="259"/>
      <c r="AJ27" s="259"/>
      <c r="AK27" s="259"/>
      <c r="AL27" s="259"/>
      <c r="AM27" s="260"/>
      <c r="AN27" s="70"/>
      <c r="AO27" s="312"/>
      <c r="AP27" s="313"/>
      <c r="AQ27" s="313"/>
      <c r="AR27" s="313"/>
      <c r="AS27" s="313"/>
      <c r="AT27" s="314"/>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89"/>
      <c r="C28" s="289"/>
      <c r="D28" s="290"/>
      <c r="E28" s="281"/>
      <c r="F28" s="282"/>
      <c r="G28" s="282"/>
      <c r="H28" s="282"/>
      <c r="I28" s="283"/>
      <c r="J28" s="249" t="str">
        <f>IF(AND('Mapa final'!$J$63="Media",'Mapa final'!$N$63="Leve"),CONCATENATE("R",'Mapa final'!$A$63),"")</f>
        <v/>
      </c>
      <c r="K28" s="250"/>
      <c r="L28" s="250" t="str">
        <f>IF(AND('Mapa final'!$J$70="Media",'Mapa final'!$N$70="Leve"),CONCATENATE("R",'Mapa final'!$A$70),"")</f>
        <v/>
      </c>
      <c r="M28" s="250"/>
      <c r="N28" s="250" t="str">
        <f>IF(AND('Mapa final'!$J$76="Media",'Mapa final'!$N$76="Leve"),CONCATENATE("R",'Mapa final'!$A$76),"")</f>
        <v/>
      </c>
      <c r="O28" s="251"/>
      <c r="P28" s="249" t="str">
        <f>IF(AND('Mapa final'!$J$63="Media",'Mapa final'!$N$63="Menor"),CONCATENATE("R",'Mapa final'!$A$63),"")</f>
        <v/>
      </c>
      <c r="Q28" s="250"/>
      <c r="R28" s="250" t="str">
        <f>IF(AND('Mapa final'!$J$70="Media",'Mapa final'!$N$70="Menor"),CONCATENATE("R",'Mapa final'!$A$70),"")</f>
        <v/>
      </c>
      <c r="S28" s="250"/>
      <c r="T28" s="250" t="str">
        <f>IF(AND('Mapa final'!$J$76="Media",'Mapa final'!$N$76="Menor"),CONCATENATE("R",'Mapa final'!$A$76),"")</f>
        <v/>
      </c>
      <c r="U28" s="251"/>
      <c r="V28" s="249" t="str">
        <f>IF(AND('Mapa final'!$J$63="Media",'Mapa final'!$N$63="Moderado"),CONCATENATE("R",'Mapa final'!$A$63),"")</f>
        <v/>
      </c>
      <c r="W28" s="250"/>
      <c r="X28" s="250" t="str">
        <f>IF(AND('Mapa final'!$J$70="Media",'Mapa final'!$N$70="Moderado"),CONCATENATE("R",'Mapa final'!$A$70),"")</f>
        <v/>
      </c>
      <c r="Y28" s="250"/>
      <c r="Z28" s="250" t="str">
        <f>IF(AND('Mapa final'!$J$76="Media",'Mapa final'!$N$76="Moderado"),CONCATENATE("R",'Mapa final'!$A$76),"")</f>
        <v/>
      </c>
      <c r="AA28" s="251"/>
      <c r="AB28" s="267" t="str">
        <f>IF(AND('Mapa final'!$J$63="Media",'Mapa final'!$N$63="Mayor"),CONCATENATE("R",'Mapa final'!$A$63),"")</f>
        <v/>
      </c>
      <c r="AC28" s="268"/>
      <c r="AD28" s="269" t="str">
        <f>IF(AND('Mapa final'!$J$70="Media",'Mapa final'!$N$70="Mayor"),CONCATENATE("R",'Mapa final'!$A$70),"")</f>
        <v/>
      </c>
      <c r="AE28" s="269"/>
      <c r="AF28" s="269" t="str">
        <f>IF(AND('Mapa final'!$J$76="Media",'Mapa final'!$N$76="Mayor"),CONCATENATE("R",'Mapa final'!$A$76),"")</f>
        <v/>
      </c>
      <c r="AG28" s="270"/>
      <c r="AH28" s="258" t="str">
        <f>IF(AND('Mapa final'!$J$63="Media",'Mapa final'!$N$63="Catastrófico"),CONCATENATE("R",'Mapa final'!$A$63),"")</f>
        <v/>
      </c>
      <c r="AI28" s="259"/>
      <c r="AJ28" s="259" t="str">
        <f>IF(AND('Mapa final'!$J$70="Media",'Mapa final'!$N$70="Catastrófico"),CONCATENATE("R",'Mapa final'!$A$70),"")</f>
        <v/>
      </c>
      <c r="AK28" s="259"/>
      <c r="AL28" s="259" t="str">
        <f>IF(AND('Mapa final'!$J$76="Media",'Mapa final'!$N$76="Catastrófico"),CONCATENATE("R",'Mapa final'!$A$76),"")</f>
        <v/>
      </c>
      <c r="AM28" s="260"/>
      <c r="AN28" s="70"/>
      <c r="AO28" s="312"/>
      <c r="AP28" s="313"/>
      <c r="AQ28" s="313"/>
      <c r="AR28" s="313"/>
      <c r="AS28" s="313"/>
      <c r="AT28" s="314"/>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89"/>
      <c r="C29" s="289"/>
      <c r="D29" s="290"/>
      <c r="E29" s="284"/>
      <c r="F29" s="285"/>
      <c r="G29" s="285"/>
      <c r="H29" s="285"/>
      <c r="I29" s="286"/>
      <c r="J29" s="249"/>
      <c r="K29" s="250"/>
      <c r="L29" s="250"/>
      <c r="M29" s="250"/>
      <c r="N29" s="250"/>
      <c r="O29" s="251"/>
      <c r="P29" s="252"/>
      <c r="Q29" s="253"/>
      <c r="R29" s="253"/>
      <c r="S29" s="253"/>
      <c r="T29" s="253"/>
      <c r="U29" s="254"/>
      <c r="V29" s="252"/>
      <c r="W29" s="253"/>
      <c r="X29" s="253"/>
      <c r="Y29" s="253"/>
      <c r="Z29" s="253"/>
      <c r="AA29" s="254"/>
      <c r="AB29" s="271"/>
      <c r="AC29" s="272"/>
      <c r="AD29" s="272"/>
      <c r="AE29" s="272"/>
      <c r="AF29" s="272"/>
      <c r="AG29" s="273"/>
      <c r="AH29" s="261"/>
      <c r="AI29" s="262"/>
      <c r="AJ29" s="262"/>
      <c r="AK29" s="262"/>
      <c r="AL29" s="262"/>
      <c r="AM29" s="263"/>
      <c r="AN29" s="70"/>
      <c r="AO29" s="315"/>
      <c r="AP29" s="316"/>
      <c r="AQ29" s="316"/>
      <c r="AR29" s="316"/>
      <c r="AS29" s="316"/>
      <c r="AT29" s="317"/>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89"/>
      <c r="C30" s="289"/>
      <c r="D30" s="290"/>
      <c r="E30" s="278" t="s">
        <v>110</v>
      </c>
      <c r="F30" s="279"/>
      <c r="G30" s="279"/>
      <c r="H30" s="279"/>
      <c r="I30" s="279"/>
      <c r="J30" s="246" t="str">
        <f>IF(AND('Mapa final'!$J$9="Baja",'Mapa final'!$N$9="Leve"),CONCATENATE("R",'Mapa final'!$A$9),"")</f>
        <v/>
      </c>
      <c r="K30" s="247"/>
      <c r="L30" s="247" t="str">
        <f>IF(AND('Mapa final'!$J$15="Baja",'Mapa final'!$N$15="Leve"),CONCATENATE("R",'Mapa final'!$A$15),"")</f>
        <v/>
      </c>
      <c r="M30" s="247"/>
      <c r="N30" s="247" t="str">
        <f>IF(AND('Mapa final'!$J$21="Baja",'Mapa final'!$N$21="Leve"),CONCATENATE("R",'Mapa final'!$A$21),"")</f>
        <v/>
      </c>
      <c r="O30" s="248"/>
      <c r="P30" s="256" t="str">
        <f>IF(AND('Mapa final'!$J$9="Baja",'Mapa final'!$N$9="Menor"),CONCATENATE("R",'Mapa final'!$A$9),"")</f>
        <v/>
      </c>
      <c r="Q30" s="256"/>
      <c r="R30" s="256" t="str">
        <f>IF(AND('Mapa final'!$J$15="Baja",'Mapa final'!$N$15="Menor"),CONCATENATE("R",'Mapa final'!$A$15),"")</f>
        <v/>
      </c>
      <c r="S30" s="256"/>
      <c r="T30" s="256" t="str">
        <f>IF(AND('Mapa final'!$J$21="Baja",'Mapa final'!$N$21="Menor"),CONCATENATE("R",'Mapa final'!$A$21),"")</f>
        <v/>
      </c>
      <c r="U30" s="257"/>
      <c r="V30" s="255" t="str">
        <f>IF(AND('Mapa final'!$J$9="Baja",'Mapa final'!$N$9="Moderado"),CONCATENATE("R",'Mapa final'!$A$9),"")</f>
        <v/>
      </c>
      <c r="W30" s="256"/>
      <c r="X30" s="256" t="str">
        <f>IF(AND('Mapa final'!$J$15="Baja",'Mapa final'!$N$15="Moderado"),CONCATENATE("R",'Mapa final'!$A$15),"")</f>
        <v/>
      </c>
      <c r="Y30" s="256"/>
      <c r="Z30" s="256" t="str">
        <f>IF(AND('Mapa final'!$J$21="Baja",'Mapa final'!$N$21="Moderado"),CONCATENATE("R",'Mapa final'!$A$21),"")</f>
        <v/>
      </c>
      <c r="AA30" s="257"/>
      <c r="AB30" s="274" t="str">
        <f>IF(AND('Mapa final'!$J$9="Baja",'Mapa final'!$N$9="Mayor"),CONCATENATE("R",'Mapa final'!$A$9),"")</f>
        <v/>
      </c>
      <c r="AC30" s="275"/>
      <c r="AD30" s="275" t="str">
        <f>IF(AND('Mapa final'!$J$15="Baja",'Mapa final'!$N$15="Mayor"),CONCATENATE("R",'Mapa final'!$A$15),"")</f>
        <v/>
      </c>
      <c r="AE30" s="275"/>
      <c r="AF30" s="275" t="str">
        <f>IF(AND('Mapa final'!$J$21="Baja",'Mapa final'!$N$21="Mayor"),CONCATENATE("R",'Mapa final'!$A$21),"")</f>
        <v/>
      </c>
      <c r="AG30" s="276"/>
      <c r="AH30" s="264" t="str">
        <f>IF(AND('Mapa final'!$J$9="Baja",'Mapa final'!$N$9="Catastrófico"),CONCATENATE("R",'Mapa final'!$A$9),"")</f>
        <v/>
      </c>
      <c r="AI30" s="265"/>
      <c r="AJ30" s="265" t="str">
        <f>IF(AND('Mapa final'!$J$15="Baja",'Mapa final'!$N$15="Catastrófico"),CONCATENATE("R",'Mapa final'!$A$15),"")</f>
        <v/>
      </c>
      <c r="AK30" s="265"/>
      <c r="AL30" s="265" t="str">
        <f>IF(AND('Mapa final'!$J$21="Baja",'Mapa final'!$N$21="Catastrófico"),CONCATENATE("R",'Mapa final'!$A$21),"")</f>
        <v/>
      </c>
      <c r="AM30" s="266"/>
      <c r="AN30" s="70"/>
      <c r="AO30" s="318" t="s">
        <v>78</v>
      </c>
      <c r="AP30" s="319"/>
      <c r="AQ30" s="319"/>
      <c r="AR30" s="319"/>
      <c r="AS30" s="319"/>
      <c r="AT30" s="32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89"/>
      <c r="C31" s="289"/>
      <c r="D31" s="290"/>
      <c r="E31" s="281"/>
      <c r="F31" s="282"/>
      <c r="G31" s="282"/>
      <c r="H31" s="282"/>
      <c r="I31" s="287"/>
      <c r="J31" s="240"/>
      <c r="K31" s="241"/>
      <c r="L31" s="241"/>
      <c r="M31" s="241"/>
      <c r="N31" s="241"/>
      <c r="O31" s="242"/>
      <c r="P31" s="250"/>
      <c r="Q31" s="250"/>
      <c r="R31" s="250"/>
      <c r="S31" s="250"/>
      <c r="T31" s="250"/>
      <c r="U31" s="251"/>
      <c r="V31" s="249"/>
      <c r="W31" s="250"/>
      <c r="X31" s="250"/>
      <c r="Y31" s="250"/>
      <c r="Z31" s="250"/>
      <c r="AA31" s="251"/>
      <c r="AB31" s="267"/>
      <c r="AC31" s="268"/>
      <c r="AD31" s="268"/>
      <c r="AE31" s="268"/>
      <c r="AF31" s="268"/>
      <c r="AG31" s="270"/>
      <c r="AH31" s="258"/>
      <c r="AI31" s="259"/>
      <c r="AJ31" s="259"/>
      <c r="AK31" s="259"/>
      <c r="AL31" s="259"/>
      <c r="AM31" s="260"/>
      <c r="AN31" s="70"/>
      <c r="AO31" s="321"/>
      <c r="AP31" s="322"/>
      <c r="AQ31" s="322"/>
      <c r="AR31" s="322"/>
      <c r="AS31" s="322"/>
      <c r="AT31" s="32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89"/>
      <c r="C32" s="289"/>
      <c r="D32" s="290"/>
      <c r="E32" s="281"/>
      <c r="F32" s="282"/>
      <c r="G32" s="282"/>
      <c r="H32" s="282"/>
      <c r="I32" s="287"/>
      <c r="J32" s="240" t="str">
        <f>IF(AND('Mapa final'!$J$27="Baja",'Mapa final'!$N$27="Leve"),CONCATENATE("R",'Mapa final'!$A$27),"")</f>
        <v/>
      </c>
      <c r="K32" s="241"/>
      <c r="L32" s="241" t="str">
        <f>IF(AND('Mapa final'!$J$33="Baja",'Mapa final'!$N$33="Leve"),CONCATENATE("R",'Mapa final'!$A$33),"")</f>
        <v/>
      </c>
      <c r="M32" s="241"/>
      <c r="N32" s="241" t="str">
        <f>IF(AND('Mapa final'!$J$39="Baja",'Mapa final'!$N$39="Leve"),CONCATENATE("R",'Mapa final'!$A$39),"")</f>
        <v/>
      </c>
      <c r="O32" s="242"/>
      <c r="P32" s="250" t="str">
        <f>IF(AND('Mapa final'!$J$27="Baja",'Mapa final'!$N$27="Menor"),CONCATENATE("R",'Mapa final'!$A$27),"")</f>
        <v/>
      </c>
      <c r="Q32" s="250"/>
      <c r="R32" s="250" t="str">
        <f>IF(AND('Mapa final'!$J$33="Baja",'Mapa final'!$N$33="Menor"),CONCATENATE("R",'Mapa final'!$A$33),"")</f>
        <v/>
      </c>
      <c r="S32" s="250"/>
      <c r="T32" s="250" t="str">
        <f>IF(AND('Mapa final'!$J$39="Baja",'Mapa final'!$N$39="Menor"),CONCATENATE("R",'Mapa final'!$A$39),"")</f>
        <v/>
      </c>
      <c r="U32" s="251"/>
      <c r="V32" s="249" t="str">
        <f>IF(AND('Mapa final'!$J$27="Baja",'Mapa final'!$N$27="Moderado"),CONCATENATE("R",'Mapa final'!$A$27),"")</f>
        <v/>
      </c>
      <c r="W32" s="250"/>
      <c r="X32" s="250" t="str">
        <f>IF(AND('Mapa final'!$J$33="Baja",'Mapa final'!$N$33="Moderado"),CONCATENATE("R",'Mapa final'!$A$33),"")</f>
        <v/>
      </c>
      <c r="Y32" s="250"/>
      <c r="Z32" s="250" t="str">
        <f>IF(AND('Mapa final'!$J$39="Baja",'Mapa final'!$N$39="Moderado"),CONCATENATE("R",'Mapa final'!$A$39),"")</f>
        <v/>
      </c>
      <c r="AA32" s="251"/>
      <c r="AB32" s="267" t="str">
        <f>IF(AND('Mapa final'!$J$27="Baja",'Mapa final'!$N$27="Mayor"),CONCATENATE("R",'Mapa final'!$A$27),"")</f>
        <v/>
      </c>
      <c r="AC32" s="268"/>
      <c r="AD32" s="269" t="str">
        <f>IF(AND('Mapa final'!$J$33="Baja",'Mapa final'!$N$33="Mayor"),CONCATENATE("R",'Mapa final'!$A$33),"")</f>
        <v/>
      </c>
      <c r="AE32" s="269"/>
      <c r="AF32" s="269" t="str">
        <f>IF(AND('Mapa final'!$J$39="Baja",'Mapa final'!$N$39="Mayor"),CONCATENATE("R",'Mapa final'!$A$39),"")</f>
        <v/>
      </c>
      <c r="AG32" s="270"/>
      <c r="AH32" s="258" t="str">
        <f>IF(AND('Mapa final'!$J$27="Baja",'Mapa final'!$N$27="Catastrófico"),CONCATENATE("R",'Mapa final'!$A$27),"")</f>
        <v/>
      </c>
      <c r="AI32" s="259"/>
      <c r="AJ32" s="259" t="str">
        <f>IF(AND('Mapa final'!$J$33="Baja",'Mapa final'!$N$33="Catastrófico"),CONCATENATE("R",'Mapa final'!$A$33),"")</f>
        <v/>
      </c>
      <c r="AK32" s="259"/>
      <c r="AL32" s="259" t="str">
        <f>IF(AND('Mapa final'!$J$39="Baja",'Mapa final'!$N$39="Catastrófico"),CONCATENATE("R",'Mapa final'!$A$39),"")</f>
        <v/>
      </c>
      <c r="AM32" s="260"/>
      <c r="AN32" s="70"/>
      <c r="AO32" s="321"/>
      <c r="AP32" s="322"/>
      <c r="AQ32" s="322"/>
      <c r="AR32" s="322"/>
      <c r="AS32" s="322"/>
      <c r="AT32" s="32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89"/>
      <c r="C33" s="289"/>
      <c r="D33" s="290"/>
      <c r="E33" s="281"/>
      <c r="F33" s="282"/>
      <c r="G33" s="282"/>
      <c r="H33" s="282"/>
      <c r="I33" s="287"/>
      <c r="J33" s="240"/>
      <c r="K33" s="241"/>
      <c r="L33" s="241"/>
      <c r="M33" s="241"/>
      <c r="N33" s="241"/>
      <c r="O33" s="242"/>
      <c r="P33" s="250"/>
      <c r="Q33" s="250"/>
      <c r="R33" s="250"/>
      <c r="S33" s="250"/>
      <c r="T33" s="250"/>
      <c r="U33" s="251"/>
      <c r="V33" s="249"/>
      <c r="W33" s="250"/>
      <c r="X33" s="250"/>
      <c r="Y33" s="250"/>
      <c r="Z33" s="250"/>
      <c r="AA33" s="251"/>
      <c r="AB33" s="267"/>
      <c r="AC33" s="268"/>
      <c r="AD33" s="269"/>
      <c r="AE33" s="269"/>
      <c r="AF33" s="269"/>
      <c r="AG33" s="270"/>
      <c r="AH33" s="258"/>
      <c r="AI33" s="259"/>
      <c r="AJ33" s="259"/>
      <c r="AK33" s="259"/>
      <c r="AL33" s="259"/>
      <c r="AM33" s="260"/>
      <c r="AN33" s="70"/>
      <c r="AO33" s="321"/>
      <c r="AP33" s="322"/>
      <c r="AQ33" s="322"/>
      <c r="AR33" s="322"/>
      <c r="AS33" s="322"/>
      <c r="AT33" s="32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89"/>
      <c r="C34" s="289"/>
      <c r="D34" s="290"/>
      <c r="E34" s="281"/>
      <c r="F34" s="282"/>
      <c r="G34" s="282"/>
      <c r="H34" s="282"/>
      <c r="I34" s="287"/>
      <c r="J34" s="240" t="str">
        <f>IF(AND('Mapa final'!$J$45="Baja",'Mapa final'!$N$45="Leve"),CONCATENATE("R",'Mapa final'!$A$45),"")</f>
        <v/>
      </c>
      <c r="K34" s="241"/>
      <c r="L34" s="241" t="str">
        <f>IF(AND('Mapa final'!$J$51="Baja",'Mapa final'!$N$51="Leve"),CONCATENATE("R",'Mapa final'!$A$51),"")</f>
        <v/>
      </c>
      <c r="M34" s="241"/>
      <c r="N34" s="241" t="str">
        <f>IF(AND('Mapa final'!$J$57="Baja",'Mapa final'!$N$57="Leve"),CONCATENATE("R",'Mapa final'!$A$57),"")</f>
        <v/>
      </c>
      <c r="O34" s="242"/>
      <c r="P34" s="250" t="str">
        <f>IF(AND('Mapa final'!$J$45="Baja",'Mapa final'!$N$45="Menor"),CONCATENATE("R",'Mapa final'!$A$45),"")</f>
        <v/>
      </c>
      <c r="Q34" s="250"/>
      <c r="R34" s="250" t="str">
        <f>IF(AND('Mapa final'!$J$51="Baja",'Mapa final'!$N$51="Menor"),CONCATENATE("R",'Mapa final'!$A$51),"")</f>
        <v/>
      </c>
      <c r="S34" s="250"/>
      <c r="T34" s="250" t="str">
        <f>IF(AND('Mapa final'!$J$57="Baja",'Mapa final'!$N$57="Menor"),CONCATENATE("R",'Mapa final'!$A$57),"")</f>
        <v/>
      </c>
      <c r="U34" s="251"/>
      <c r="V34" s="249" t="str">
        <f>IF(AND('Mapa final'!$J$45="Baja",'Mapa final'!$N$45="Moderado"),CONCATENATE("R",'Mapa final'!$A$45),"")</f>
        <v/>
      </c>
      <c r="W34" s="250"/>
      <c r="X34" s="250" t="str">
        <f>IF(AND('Mapa final'!$J$51="Baja",'Mapa final'!$N$51="Moderado"),CONCATENATE("R",'Mapa final'!$A$51),"")</f>
        <v/>
      </c>
      <c r="Y34" s="250"/>
      <c r="Z34" s="250" t="str">
        <f>IF(AND('Mapa final'!$J$57="Baja",'Mapa final'!$N$57="Moderado"),CONCATENATE("R",'Mapa final'!$A$57),"")</f>
        <v/>
      </c>
      <c r="AA34" s="251"/>
      <c r="AB34" s="267" t="str">
        <f>IF(AND('Mapa final'!$J$45="Baja",'Mapa final'!$N$45="Mayor"),CONCATENATE("R",'Mapa final'!$A$45),"")</f>
        <v/>
      </c>
      <c r="AC34" s="268"/>
      <c r="AD34" s="269" t="str">
        <f>IF(AND('Mapa final'!$J$51="Baja",'Mapa final'!$N$51="Mayor"),CONCATENATE("R",'Mapa final'!$A$51),"")</f>
        <v/>
      </c>
      <c r="AE34" s="269"/>
      <c r="AF34" s="269" t="str">
        <f>IF(AND('Mapa final'!$J$57="Baja",'Mapa final'!$N$57="Mayor"),CONCATENATE("R",'Mapa final'!$A$57),"")</f>
        <v/>
      </c>
      <c r="AG34" s="270"/>
      <c r="AH34" s="258" t="str">
        <f>IF(AND('Mapa final'!$J$45="Baja",'Mapa final'!$N$45="Catastrófico"),CONCATENATE("R",'Mapa final'!$A$45),"")</f>
        <v/>
      </c>
      <c r="AI34" s="259"/>
      <c r="AJ34" s="259" t="str">
        <f>IF(AND('Mapa final'!$J$51="Baja",'Mapa final'!$N$51="Catastrófico"),CONCATENATE("R",'Mapa final'!$A$51),"")</f>
        <v/>
      </c>
      <c r="AK34" s="259"/>
      <c r="AL34" s="259" t="str">
        <f>IF(AND('Mapa final'!$J$57="Baja",'Mapa final'!$N$57="Catastrófico"),CONCATENATE("R",'Mapa final'!$A$57),"")</f>
        <v/>
      </c>
      <c r="AM34" s="260"/>
      <c r="AN34" s="70"/>
      <c r="AO34" s="321"/>
      <c r="AP34" s="322"/>
      <c r="AQ34" s="322"/>
      <c r="AR34" s="322"/>
      <c r="AS34" s="322"/>
      <c r="AT34" s="32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89"/>
      <c r="C35" s="289"/>
      <c r="D35" s="290"/>
      <c r="E35" s="281"/>
      <c r="F35" s="282"/>
      <c r="G35" s="282"/>
      <c r="H35" s="282"/>
      <c r="I35" s="287"/>
      <c r="J35" s="240"/>
      <c r="K35" s="241"/>
      <c r="L35" s="241"/>
      <c r="M35" s="241"/>
      <c r="N35" s="241"/>
      <c r="O35" s="242"/>
      <c r="P35" s="250"/>
      <c r="Q35" s="250"/>
      <c r="R35" s="250"/>
      <c r="S35" s="250"/>
      <c r="T35" s="250"/>
      <c r="U35" s="251"/>
      <c r="V35" s="249"/>
      <c r="W35" s="250"/>
      <c r="X35" s="250"/>
      <c r="Y35" s="250"/>
      <c r="Z35" s="250"/>
      <c r="AA35" s="251"/>
      <c r="AB35" s="267"/>
      <c r="AC35" s="268"/>
      <c r="AD35" s="269"/>
      <c r="AE35" s="269"/>
      <c r="AF35" s="269"/>
      <c r="AG35" s="270"/>
      <c r="AH35" s="258"/>
      <c r="AI35" s="259"/>
      <c r="AJ35" s="259"/>
      <c r="AK35" s="259"/>
      <c r="AL35" s="259"/>
      <c r="AM35" s="260"/>
      <c r="AN35" s="70"/>
      <c r="AO35" s="321"/>
      <c r="AP35" s="322"/>
      <c r="AQ35" s="322"/>
      <c r="AR35" s="322"/>
      <c r="AS35" s="322"/>
      <c r="AT35" s="32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89"/>
      <c r="C36" s="289"/>
      <c r="D36" s="290"/>
      <c r="E36" s="281"/>
      <c r="F36" s="282"/>
      <c r="G36" s="282"/>
      <c r="H36" s="282"/>
      <c r="I36" s="287"/>
      <c r="J36" s="240" t="str">
        <f>IF(AND('Mapa final'!$J$63="Baja",'Mapa final'!$N$63="Leve"),CONCATENATE("R",'Mapa final'!$A$63),"")</f>
        <v/>
      </c>
      <c r="K36" s="241"/>
      <c r="L36" s="241" t="str">
        <f>IF(AND('Mapa final'!$J$70="Baja",'Mapa final'!$N$70="Leve"),CONCATENATE("R",'Mapa final'!$A$70),"")</f>
        <v/>
      </c>
      <c r="M36" s="241"/>
      <c r="N36" s="241" t="str">
        <f>IF(AND('Mapa final'!$J$76="Baja",'Mapa final'!$N$76="Leve"),CONCATENATE("R",'Mapa final'!$A$76),"")</f>
        <v/>
      </c>
      <c r="O36" s="242"/>
      <c r="P36" s="250" t="str">
        <f>IF(AND('Mapa final'!$J$63="Baja",'Mapa final'!$N$63="Menor"),CONCATENATE("R",'Mapa final'!$A$63),"")</f>
        <v/>
      </c>
      <c r="Q36" s="250"/>
      <c r="R36" s="250" t="str">
        <f>IF(AND('Mapa final'!$J$70="Baja",'Mapa final'!$N$70="Menor"),CONCATENATE("R",'Mapa final'!$A$70),"")</f>
        <v/>
      </c>
      <c r="S36" s="250"/>
      <c r="T36" s="250" t="str">
        <f>IF(AND('Mapa final'!$J$76="Baja",'Mapa final'!$N$76="Menor"),CONCATENATE("R",'Mapa final'!$A$76),"")</f>
        <v/>
      </c>
      <c r="U36" s="251"/>
      <c r="V36" s="249" t="str">
        <f>IF(AND('Mapa final'!$J$63="Baja",'Mapa final'!$N$63="Moderado"),CONCATENATE("R",'Mapa final'!$A$63),"")</f>
        <v/>
      </c>
      <c r="W36" s="250"/>
      <c r="X36" s="250" t="str">
        <f>IF(AND('Mapa final'!$J$70="Baja",'Mapa final'!$N$70="Moderado"),CONCATENATE("R",'Mapa final'!$A$70),"")</f>
        <v/>
      </c>
      <c r="Y36" s="250"/>
      <c r="Z36" s="250" t="str">
        <f>IF(AND('Mapa final'!$J$76="Baja",'Mapa final'!$N$76="Moderado"),CONCATENATE("R",'Mapa final'!$A$76),"")</f>
        <v/>
      </c>
      <c r="AA36" s="251"/>
      <c r="AB36" s="267" t="str">
        <f>IF(AND('Mapa final'!$J$63="Baja",'Mapa final'!$N$63="Mayor"),CONCATENATE("R",'Mapa final'!$A$63),"")</f>
        <v/>
      </c>
      <c r="AC36" s="268"/>
      <c r="AD36" s="269" t="str">
        <f>IF(AND('Mapa final'!$J$70="Baja",'Mapa final'!$N$70="Mayor"),CONCATENATE("R",'Mapa final'!$A$70),"")</f>
        <v/>
      </c>
      <c r="AE36" s="269"/>
      <c r="AF36" s="269" t="str">
        <f>IF(AND('Mapa final'!$J$76="Baja",'Mapa final'!$N$76="Mayor"),CONCATENATE("R",'Mapa final'!$A$76),"")</f>
        <v/>
      </c>
      <c r="AG36" s="270"/>
      <c r="AH36" s="258" t="str">
        <f>IF(AND('Mapa final'!$J$63="Baja",'Mapa final'!$N$63="Catastrófico"),CONCATENATE("R",'Mapa final'!$A$63),"")</f>
        <v/>
      </c>
      <c r="AI36" s="259"/>
      <c r="AJ36" s="259" t="str">
        <f>IF(AND('Mapa final'!$J$70="Baja",'Mapa final'!$N$70="Catastrófico"),CONCATENATE("R",'Mapa final'!$A$70),"")</f>
        <v/>
      </c>
      <c r="AK36" s="259"/>
      <c r="AL36" s="259" t="str">
        <f>IF(AND('Mapa final'!$J$76="Baja",'Mapa final'!$N$76="Catastrófico"),CONCATENATE("R",'Mapa final'!$A$76),"")</f>
        <v/>
      </c>
      <c r="AM36" s="260"/>
      <c r="AN36" s="70"/>
      <c r="AO36" s="321"/>
      <c r="AP36" s="322"/>
      <c r="AQ36" s="322"/>
      <c r="AR36" s="322"/>
      <c r="AS36" s="322"/>
      <c r="AT36" s="323"/>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89"/>
      <c r="C37" s="289"/>
      <c r="D37" s="290"/>
      <c r="E37" s="284"/>
      <c r="F37" s="285"/>
      <c r="G37" s="285"/>
      <c r="H37" s="285"/>
      <c r="I37" s="285"/>
      <c r="J37" s="243"/>
      <c r="K37" s="244"/>
      <c r="L37" s="244"/>
      <c r="M37" s="244"/>
      <c r="N37" s="244"/>
      <c r="O37" s="245"/>
      <c r="P37" s="253"/>
      <c r="Q37" s="253"/>
      <c r="R37" s="253"/>
      <c r="S37" s="253"/>
      <c r="T37" s="253"/>
      <c r="U37" s="254"/>
      <c r="V37" s="252"/>
      <c r="W37" s="253"/>
      <c r="X37" s="253"/>
      <c r="Y37" s="253"/>
      <c r="Z37" s="253"/>
      <c r="AA37" s="254"/>
      <c r="AB37" s="271"/>
      <c r="AC37" s="272"/>
      <c r="AD37" s="272"/>
      <c r="AE37" s="272"/>
      <c r="AF37" s="272"/>
      <c r="AG37" s="273"/>
      <c r="AH37" s="261"/>
      <c r="AI37" s="262"/>
      <c r="AJ37" s="262"/>
      <c r="AK37" s="262"/>
      <c r="AL37" s="262"/>
      <c r="AM37" s="263"/>
      <c r="AN37" s="70"/>
      <c r="AO37" s="324"/>
      <c r="AP37" s="325"/>
      <c r="AQ37" s="325"/>
      <c r="AR37" s="325"/>
      <c r="AS37" s="325"/>
      <c r="AT37" s="326"/>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89"/>
      <c r="C38" s="289"/>
      <c r="D38" s="290"/>
      <c r="E38" s="278" t="s">
        <v>109</v>
      </c>
      <c r="F38" s="279"/>
      <c r="G38" s="279"/>
      <c r="H38" s="279"/>
      <c r="I38" s="280"/>
      <c r="J38" s="246" t="str">
        <f>IF(AND('Mapa final'!$J$9="Muy Baja",'Mapa final'!$N$9="Leve"),CONCATENATE("R",'Mapa final'!$A$9),"")</f>
        <v/>
      </c>
      <c r="K38" s="247"/>
      <c r="L38" s="247" t="str">
        <f>IF(AND('Mapa final'!$J$15="Muy Baja",'Mapa final'!$N$15="Leve"),CONCATENATE("R",'Mapa final'!$A$15),"")</f>
        <v/>
      </c>
      <c r="M38" s="247"/>
      <c r="N38" s="247" t="str">
        <f>IF(AND('Mapa final'!$J$21="Muy Baja",'Mapa final'!$N$21="Leve"),CONCATENATE("R",'Mapa final'!$A$21),"")</f>
        <v/>
      </c>
      <c r="O38" s="248"/>
      <c r="P38" s="246" t="str">
        <f>IF(AND('Mapa final'!$J$9="Muy Baja",'Mapa final'!$N$9="Menor"),CONCATENATE("R",'Mapa final'!$A$9),"")</f>
        <v/>
      </c>
      <c r="Q38" s="247"/>
      <c r="R38" s="247" t="str">
        <f>IF(AND('Mapa final'!$J$15="Muy Baja",'Mapa final'!$N$15="Menor"),CONCATENATE("R",'Mapa final'!$A$15),"")</f>
        <v/>
      </c>
      <c r="S38" s="247"/>
      <c r="T38" s="247" t="str">
        <f>IF(AND('Mapa final'!$J$21="Muy Baja",'Mapa final'!$N$21="Menor"),CONCATENATE("R",'Mapa final'!$A$21),"")</f>
        <v/>
      </c>
      <c r="U38" s="248"/>
      <c r="V38" s="255" t="str">
        <f>IF(AND('Mapa final'!$J$9="Muy Baja",'Mapa final'!$N$9="Moderado"),CONCATENATE("R",'Mapa final'!$A$9),"")</f>
        <v/>
      </c>
      <c r="W38" s="256"/>
      <c r="X38" s="256" t="str">
        <f>IF(AND('Mapa final'!$J$15="Muy Baja",'Mapa final'!$N$15="Moderado"),CONCATENATE("R",'Mapa final'!$A$15),"")</f>
        <v/>
      </c>
      <c r="Y38" s="256"/>
      <c r="Z38" s="256" t="str">
        <f>IF(AND('Mapa final'!$J$21="Muy Baja",'Mapa final'!$N$21="Moderado"),CONCATENATE("R",'Mapa final'!$A$21),"")</f>
        <v/>
      </c>
      <c r="AA38" s="257"/>
      <c r="AB38" s="274" t="str">
        <f>IF(AND('Mapa final'!$J$9="Muy Baja",'Mapa final'!$N$9="Mayor"),CONCATENATE("R",'Mapa final'!$A$9),"")</f>
        <v/>
      </c>
      <c r="AC38" s="275"/>
      <c r="AD38" s="275" t="str">
        <f>IF(AND('Mapa final'!$J$15="Muy Baja",'Mapa final'!$N$15="Mayor"),CONCATENATE("R",'Mapa final'!$A$15),"")</f>
        <v/>
      </c>
      <c r="AE38" s="275"/>
      <c r="AF38" s="275" t="str">
        <f>IF(AND('Mapa final'!$J$21="Muy Baja",'Mapa final'!$N$21="Mayor"),CONCATENATE("R",'Mapa final'!$A$21),"")</f>
        <v/>
      </c>
      <c r="AG38" s="276"/>
      <c r="AH38" s="264" t="str">
        <f>IF(AND('Mapa final'!$J$9="Muy Baja",'Mapa final'!$N$9="Catastrófico"),CONCATENATE("R",'Mapa final'!$A$9),"")</f>
        <v/>
      </c>
      <c r="AI38" s="265"/>
      <c r="AJ38" s="265" t="str">
        <f>IF(AND('Mapa final'!$J$15="Muy Baja",'Mapa final'!$N$15="Catastrófico"),CONCATENATE("R",'Mapa final'!$A$15),"")</f>
        <v/>
      </c>
      <c r="AK38" s="265"/>
      <c r="AL38" s="265" t="str">
        <f>IF(AND('Mapa final'!$J$21="Muy Baja",'Mapa final'!$N$21="Catastrófico"),CONCATENATE("R",'Mapa final'!$A$21),"")</f>
        <v/>
      </c>
      <c r="AM38" s="266"/>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89"/>
      <c r="C39" s="289"/>
      <c r="D39" s="290"/>
      <c r="E39" s="281"/>
      <c r="F39" s="282"/>
      <c r="G39" s="282"/>
      <c r="H39" s="282"/>
      <c r="I39" s="283"/>
      <c r="J39" s="240"/>
      <c r="K39" s="241"/>
      <c r="L39" s="241"/>
      <c r="M39" s="241"/>
      <c r="N39" s="241"/>
      <c r="O39" s="242"/>
      <c r="P39" s="240"/>
      <c r="Q39" s="241"/>
      <c r="R39" s="241"/>
      <c r="S39" s="241"/>
      <c r="T39" s="241"/>
      <c r="U39" s="242"/>
      <c r="V39" s="249"/>
      <c r="W39" s="250"/>
      <c r="X39" s="250"/>
      <c r="Y39" s="250"/>
      <c r="Z39" s="250"/>
      <c r="AA39" s="251"/>
      <c r="AB39" s="267"/>
      <c r="AC39" s="268"/>
      <c r="AD39" s="268"/>
      <c r="AE39" s="268"/>
      <c r="AF39" s="268"/>
      <c r="AG39" s="270"/>
      <c r="AH39" s="258"/>
      <c r="AI39" s="259"/>
      <c r="AJ39" s="259"/>
      <c r="AK39" s="259"/>
      <c r="AL39" s="259"/>
      <c r="AM39" s="26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89"/>
      <c r="C40" s="289"/>
      <c r="D40" s="290"/>
      <c r="E40" s="281"/>
      <c r="F40" s="282"/>
      <c r="G40" s="282"/>
      <c r="H40" s="282"/>
      <c r="I40" s="283"/>
      <c r="J40" s="240" t="str">
        <f>IF(AND('Mapa final'!$J$27="Muy Baja",'Mapa final'!$N$27="Leve"),CONCATENATE("R",'Mapa final'!$A$27),"")</f>
        <v/>
      </c>
      <c r="K40" s="241"/>
      <c r="L40" s="241" t="str">
        <f>IF(AND('Mapa final'!$J$33="Muy Baja",'Mapa final'!$N$33="Leve"),CONCATENATE("R",'Mapa final'!$A$33),"")</f>
        <v/>
      </c>
      <c r="M40" s="241"/>
      <c r="N40" s="241" t="str">
        <f>IF(AND('Mapa final'!$J$39="Muy Baja",'Mapa final'!$N$39="Leve"),CONCATENATE("R",'Mapa final'!$A$39),"")</f>
        <v/>
      </c>
      <c r="O40" s="242"/>
      <c r="P40" s="240" t="str">
        <f>IF(AND('Mapa final'!$J$27="Muy Baja",'Mapa final'!$N$27="Menor"),CONCATENATE("R",'Mapa final'!$A$27),"")</f>
        <v/>
      </c>
      <c r="Q40" s="241"/>
      <c r="R40" s="241" t="str">
        <f>IF(AND('Mapa final'!$J$33="Muy Baja",'Mapa final'!$N$33="Menor"),CONCATENATE("R",'Mapa final'!$A$33),"")</f>
        <v/>
      </c>
      <c r="S40" s="241"/>
      <c r="T40" s="241" t="str">
        <f>IF(AND('Mapa final'!$J$39="Muy Baja",'Mapa final'!$N$39="Menor"),CONCATENATE("R",'Mapa final'!$A$39),"")</f>
        <v/>
      </c>
      <c r="U40" s="242"/>
      <c r="V40" s="249" t="str">
        <f>IF(AND('Mapa final'!$J$27="Muy Baja",'Mapa final'!$N$27="Moderado"),CONCATENATE("R",'Mapa final'!$A$27),"")</f>
        <v/>
      </c>
      <c r="W40" s="250"/>
      <c r="X40" s="250" t="str">
        <f>IF(AND('Mapa final'!$J$33="Muy Baja",'Mapa final'!$N$33="Moderado"),CONCATENATE("R",'Mapa final'!$A$33),"")</f>
        <v/>
      </c>
      <c r="Y40" s="250"/>
      <c r="Z40" s="250" t="str">
        <f>IF(AND('Mapa final'!$J$39="Muy Baja",'Mapa final'!$N$39="Moderado"),CONCATENATE("R",'Mapa final'!$A$39),"")</f>
        <v/>
      </c>
      <c r="AA40" s="251"/>
      <c r="AB40" s="267" t="str">
        <f>IF(AND('Mapa final'!$J$27="Muy Baja",'Mapa final'!$N$27="Mayor"),CONCATENATE("R",'Mapa final'!$A$27),"")</f>
        <v/>
      </c>
      <c r="AC40" s="268"/>
      <c r="AD40" s="269" t="str">
        <f>IF(AND('Mapa final'!$J$33="Muy Baja",'Mapa final'!$N$33="Mayor"),CONCATENATE("R",'Mapa final'!$A$33),"")</f>
        <v/>
      </c>
      <c r="AE40" s="269"/>
      <c r="AF40" s="269" t="str">
        <f>IF(AND('Mapa final'!$J$39="Muy Baja",'Mapa final'!$N$39="Mayor"),CONCATENATE("R",'Mapa final'!$A$39),"")</f>
        <v/>
      </c>
      <c r="AG40" s="270"/>
      <c r="AH40" s="258" t="str">
        <f>IF(AND('Mapa final'!$J$27="Muy Baja",'Mapa final'!$N$27="Catastrófico"),CONCATENATE("R",'Mapa final'!$A$27),"")</f>
        <v/>
      </c>
      <c r="AI40" s="259"/>
      <c r="AJ40" s="259" t="str">
        <f>IF(AND('Mapa final'!$J$33="Muy Baja",'Mapa final'!$N$33="Catastrófico"),CONCATENATE("R",'Mapa final'!$A$33),"")</f>
        <v/>
      </c>
      <c r="AK40" s="259"/>
      <c r="AL40" s="259" t="str">
        <f>IF(AND('Mapa final'!$J$39="Muy Baja",'Mapa final'!$N$39="Catastrófico"),CONCATENATE("R",'Mapa final'!$A$39),"")</f>
        <v/>
      </c>
      <c r="AM40" s="26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89"/>
      <c r="C41" s="289"/>
      <c r="D41" s="290"/>
      <c r="E41" s="281"/>
      <c r="F41" s="282"/>
      <c r="G41" s="282"/>
      <c r="H41" s="282"/>
      <c r="I41" s="283"/>
      <c r="J41" s="240"/>
      <c r="K41" s="241"/>
      <c r="L41" s="241"/>
      <c r="M41" s="241"/>
      <c r="N41" s="241"/>
      <c r="O41" s="242"/>
      <c r="P41" s="240"/>
      <c r="Q41" s="241"/>
      <c r="R41" s="241"/>
      <c r="S41" s="241"/>
      <c r="T41" s="241"/>
      <c r="U41" s="242"/>
      <c r="V41" s="249"/>
      <c r="W41" s="250"/>
      <c r="X41" s="250"/>
      <c r="Y41" s="250"/>
      <c r="Z41" s="250"/>
      <c r="AA41" s="251"/>
      <c r="AB41" s="267"/>
      <c r="AC41" s="268"/>
      <c r="AD41" s="269"/>
      <c r="AE41" s="269"/>
      <c r="AF41" s="269"/>
      <c r="AG41" s="270"/>
      <c r="AH41" s="258"/>
      <c r="AI41" s="259"/>
      <c r="AJ41" s="259"/>
      <c r="AK41" s="259"/>
      <c r="AL41" s="259"/>
      <c r="AM41" s="26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89"/>
      <c r="C42" s="289"/>
      <c r="D42" s="290"/>
      <c r="E42" s="281"/>
      <c r="F42" s="282"/>
      <c r="G42" s="282"/>
      <c r="H42" s="282"/>
      <c r="I42" s="283"/>
      <c r="J42" s="240" t="str">
        <f>IF(AND('Mapa final'!$J$45="Muy Baja",'Mapa final'!$N$45="Leve"),CONCATENATE("R",'Mapa final'!$A$45),"")</f>
        <v/>
      </c>
      <c r="K42" s="241"/>
      <c r="L42" s="241" t="str">
        <f>IF(AND('Mapa final'!$J$51="Muy Baja",'Mapa final'!$N$51="Leve"),CONCATENATE("R",'Mapa final'!$A$51),"")</f>
        <v/>
      </c>
      <c r="M42" s="241"/>
      <c r="N42" s="241" t="str">
        <f>IF(AND('Mapa final'!$J$57="Muy Baja",'Mapa final'!$N$57="Leve"),CONCATENATE("R",'Mapa final'!$A$57),"")</f>
        <v/>
      </c>
      <c r="O42" s="242"/>
      <c r="P42" s="240" t="str">
        <f>IF(AND('Mapa final'!$J$45="Muy Baja",'Mapa final'!$N$45="Menor"),CONCATENATE("R",'Mapa final'!$A$45),"")</f>
        <v/>
      </c>
      <c r="Q42" s="241"/>
      <c r="R42" s="241" t="str">
        <f>IF(AND('Mapa final'!$J$51="Muy Baja",'Mapa final'!$N$51="Menor"),CONCATENATE("R",'Mapa final'!$A$51),"")</f>
        <v/>
      </c>
      <c r="S42" s="241"/>
      <c r="T42" s="241" t="str">
        <f>IF(AND('Mapa final'!$J$57="Muy Baja",'Mapa final'!$N$57="Menor"),CONCATENATE("R",'Mapa final'!$A$57),"")</f>
        <v/>
      </c>
      <c r="U42" s="242"/>
      <c r="V42" s="249" t="str">
        <f>IF(AND('Mapa final'!$J$45="Muy Baja",'Mapa final'!$N$45="Moderado"),CONCATENATE("R",'Mapa final'!$A$45),"")</f>
        <v/>
      </c>
      <c r="W42" s="250"/>
      <c r="X42" s="250" t="str">
        <f>IF(AND('Mapa final'!$J$51="Muy Baja",'Mapa final'!$N$51="Moderado"),CONCATENATE("R",'Mapa final'!$A$51),"")</f>
        <v/>
      </c>
      <c r="Y42" s="250"/>
      <c r="Z42" s="250" t="str">
        <f>IF(AND('Mapa final'!$J$57="Muy Baja",'Mapa final'!$N$57="Moderado"),CONCATENATE("R",'Mapa final'!$A$57),"")</f>
        <v/>
      </c>
      <c r="AA42" s="251"/>
      <c r="AB42" s="267" t="str">
        <f>IF(AND('Mapa final'!$J$45="Muy Baja",'Mapa final'!$N$45="Mayor"),CONCATENATE("R",'Mapa final'!$A$45),"")</f>
        <v/>
      </c>
      <c r="AC42" s="268"/>
      <c r="AD42" s="269" t="str">
        <f>IF(AND('Mapa final'!$J$51="Muy Baja",'Mapa final'!$N$51="Mayor"),CONCATENATE("R",'Mapa final'!$A$51),"")</f>
        <v/>
      </c>
      <c r="AE42" s="269"/>
      <c r="AF42" s="269" t="str">
        <f>IF(AND('Mapa final'!$J$57="Muy Baja",'Mapa final'!$N$57="Mayor"),CONCATENATE("R",'Mapa final'!$A$57),"")</f>
        <v/>
      </c>
      <c r="AG42" s="270"/>
      <c r="AH42" s="258" t="str">
        <f>IF(AND('Mapa final'!$J$45="Muy Baja",'Mapa final'!$N$45="Catastrófico"),CONCATENATE("R",'Mapa final'!$A$45),"")</f>
        <v/>
      </c>
      <c r="AI42" s="259"/>
      <c r="AJ42" s="259" t="str">
        <f>IF(AND('Mapa final'!$J$51="Muy Baja",'Mapa final'!$N$51="Catastrófico"),CONCATENATE("R",'Mapa final'!$A$51),"")</f>
        <v/>
      </c>
      <c r="AK42" s="259"/>
      <c r="AL42" s="259" t="str">
        <f>IF(AND('Mapa final'!$J$57="Muy Baja",'Mapa final'!$N$57="Catastrófico"),CONCATENATE("R",'Mapa final'!$A$57),"")</f>
        <v/>
      </c>
      <c r="AM42" s="26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89"/>
      <c r="C43" s="289"/>
      <c r="D43" s="290"/>
      <c r="E43" s="281"/>
      <c r="F43" s="282"/>
      <c r="G43" s="282"/>
      <c r="H43" s="282"/>
      <c r="I43" s="283"/>
      <c r="J43" s="240"/>
      <c r="K43" s="241"/>
      <c r="L43" s="241"/>
      <c r="M43" s="241"/>
      <c r="N43" s="241"/>
      <c r="O43" s="242"/>
      <c r="P43" s="240"/>
      <c r="Q43" s="241"/>
      <c r="R43" s="241"/>
      <c r="S43" s="241"/>
      <c r="T43" s="241"/>
      <c r="U43" s="242"/>
      <c r="V43" s="249"/>
      <c r="W43" s="250"/>
      <c r="X43" s="250"/>
      <c r="Y43" s="250"/>
      <c r="Z43" s="250"/>
      <c r="AA43" s="251"/>
      <c r="AB43" s="267"/>
      <c r="AC43" s="268"/>
      <c r="AD43" s="269"/>
      <c r="AE43" s="269"/>
      <c r="AF43" s="269"/>
      <c r="AG43" s="270"/>
      <c r="AH43" s="258"/>
      <c r="AI43" s="259"/>
      <c r="AJ43" s="259"/>
      <c r="AK43" s="259"/>
      <c r="AL43" s="259"/>
      <c r="AM43" s="26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89"/>
      <c r="C44" s="289"/>
      <c r="D44" s="290"/>
      <c r="E44" s="281"/>
      <c r="F44" s="282"/>
      <c r="G44" s="282"/>
      <c r="H44" s="282"/>
      <c r="I44" s="283"/>
      <c r="J44" s="240" t="str">
        <f>IF(AND('Mapa final'!$J$63="Muy Baja",'Mapa final'!$N$63="Leve"),CONCATENATE("R",'Mapa final'!$A$63),"")</f>
        <v/>
      </c>
      <c r="K44" s="241"/>
      <c r="L44" s="241" t="str">
        <f>IF(AND('Mapa final'!$J$70="Muy Baja",'Mapa final'!$N$70="Leve"),CONCATENATE("R",'Mapa final'!$A$70),"")</f>
        <v/>
      </c>
      <c r="M44" s="241"/>
      <c r="N44" s="241" t="str">
        <f>IF(AND('Mapa final'!$J$76="Muy Baja",'Mapa final'!$N$76="Leve"),CONCATENATE("R",'Mapa final'!$A$76),"")</f>
        <v/>
      </c>
      <c r="O44" s="242"/>
      <c r="P44" s="240" t="str">
        <f>IF(AND('Mapa final'!$J$63="Muy Baja",'Mapa final'!$N$63="Menor"),CONCATENATE("R",'Mapa final'!$A$63),"")</f>
        <v/>
      </c>
      <c r="Q44" s="241"/>
      <c r="R44" s="241" t="str">
        <f>IF(AND('Mapa final'!$J$70="Muy Baja",'Mapa final'!$N$70="Menor"),CONCATENATE("R",'Mapa final'!$A$70),"")</f>
        <v/>
      </c>
      <c r="S44" s="241"/>
      <c r="T44" s="241" t="str">
        <f>IF(AND('Mapa final'!$J$76="Muy Baja",'Mapa final'!$N$76="Menor"),CONCATENATE("R",'Mapa final'!$A$76),"")</f>
        <v/>
      </c>
      <c r="U44" s="242"/>
      <c r="V44" s="249" t="str">
        <f>IF(AND('Mapa final'!$J$63="Muy Baja",'Mapa final'!$N$63="Moderado"),CONCATENATE("R",'Mapa final'!$A$63),"")</f>
        <v/>
      </c>
      <c r="W44" s="250"/>
      <c r="X44" s="250" t="str">
        <f>IF(AND('Mapa final'!$J$70="Muy Baja",'Mapa final'!$N$70="Moderado"),CONCATENATE("R",'Mapa final'!$A$70),"")</f>
        <v/>
      </c>
      <c r="Y44" s="250"/>
      <c r="Z44" s="250" t="str">
        <f>IF(AND('Mapa final'!$J$76="Muy Baja",'Mapa final'!$N$76="Moderado"),CONCATENATE("R",'Mapa final'!$A$76),"")</f>
        <v/>
      </c>
      <c r="AA44" s="251"/>
      <c r="AB44" s="267" t="str">
        <f>IF(AND('Mapa final'!$J$63="Muy Baja",'Mapa final'!$N$63="Mayor"),CONCATENATE("R",'Mapa final'!$A$63),"")</f>
        <v/>
      </c>
      <c r="AC44" s="268"/>
      <c r="AD44" s="269" t="str">
        <f>IF(AND('Mapa final'!$J$70="Muy Baja",'Mapa final'!$N$70="Mayor"),CONCATENATE("R",'Mapa final'!$A$70),"")</f>
        <v/>
      </c>
      <c r="AE44" s="269"/>
      <c r="AF44" s="269" t="str">
        <f>IF(AND('Mapa final'!$J$76="Muy Baja",'Mapa final'!$N$76="Mayor"),CONCATENATE("R",'Mapa final'!$A$76),"")</f>
        <v/>
      </c>
      <c r="AG44" s="270"/>
      <c r="AH44" s="258" t="str">
        <f>IF(AND('Mapa final'!$J$63="Muy Baja",'Mapa final'!$N$63="Catastrófico"),CONCATENATE("R",'Mapa final'!$A$63),"")</f>
        <v/>
      </c>
      <c r="AI44" s="259"/>
      <c r="AJ44" s="259" t="str">
        <f>IF(AND('Mapa final'!$J$70="Muy Baja",'Mapa final'!$N$70="Catastrófico"),CONCATENATE("R",'Mapa final'!$A$70),"")</f>
        <v/>
      </c>
      <c r="AK44" s="259"/>
      <c r="AL44" s="259" t="str">
        <f>IF(AND('Mapa final'!$J$76="Muy Baja",'Mapa final'!$N$76="Catastrófico"),CONCATENATE("R",'Mapa final'!$A$76),"")</f>
        <v/>
      </c>
      <c r="AM44" s="26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89"/>
      <c r="C45" s="289"/>
      <c r="D45" s="290"/>
      <c r="E45" s="284"/>
      <c r="F45" s="285"/>
      <c r="G45" s="285"/>
      <c r="H45" s="285"/>
      <c r="I45" s="286"/>
      <c r="J45" s="243"/>
      <c r="K45" s="244"/>
      <c r="L45" s="244"/>
      <c r="M45" s="244"/>
      <c r="N45" s="244"/>
      <c r="O45" s="245"/>
      <c r="P45" s="243"/>
      <c r="Q45" s="244"/>
      <c r="R45" s="244"/>
      <c r="S45" s="244"/>
      <c r="T45" s="244"/>
      <c r="U45" s="245"/>
      <c r="V45" s="252"/>
      <c r="W45" s="253"/>
      <c r="X45" s="253"/>
      <c r="Y45" s="253"/>
      <c r="Z45" s="253"/>
      <c r="AA45" s="254"/>
      <c r="AB45" s="271"/>
      <c r="AC45" s="272"/>
      <c r="AD45" s="272"/>
      <c r="AE45" s="272"/>
      <c r="AF45" s="272"/>
      <c r="AG45" s="273"/>
      <c r="AH45" s="261"/>
      <c r="AI45" s="262"/>
      <c r="AJ45" s="262"/>
      <c r="AK45" s="262"/>
      <c r="AL45" s="262"/>
      <c r="AM45" s="26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8" t="s">
        <v>108</v>
      </c>
      <c r="K46" s="279"/>
      <c r="L46" s="279"/>
      <c r="M46" s="279"/>
      <c r="N46" s="279"/>
      <c r="O46" s="280"/>
      <c r="P46" s="278" t="s">
        <v>107</v>
      </c>
      <c r="Q46" s="279"/>
      <c r="R46" s="279"/>
      <c r="S46" s="279"/>
      <c r="T46" s="279"/>
      <c r="U46" s="280"/>
      <c r="V46" s="278" t="s">
        <v>106</v>
      </c>
      <c r="W46" s="279"/>
      <c r="X46" s="279"/>
      <c r="Y46" s="279"/>
      <c r="Z46" s="279"/>
      <c r="AA46" s="280"/>
      <c r="AB46" s="278" t="s">
        <v>105</v>
      </c>
      <c r="AC46" s="288"/>
      <c r="AD46" s="279"/>
      <c r="AE46" s="279"/>
      <c r="AF46" s="279"/>
      <c r="AG46" s="280"/>
      <c r="AH46" s="278" t="s">
        <v>104</v>
      </c>
      <c r="AI46" s="279"/>
      <c r="AJ46" s="279"/>
      <c r="AK46" s="279"/>
      <c r="AL46" s="279"/>
      <c r="AM46" s="28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81"/>
      <c r="K47" s="282"/>
      <c r="L47" s="282"/>
      <c r="M47" s="282"/>
      <c r="N47" s="282"/>
      <c r="O47" s="283"/>
      <c r="P47" s="281"/>
      <c r="Q47" s="282"/>
      <c r="R47" s="282"/>
      <c r="S47" s="282"/>
      <c r="T47" s="282"/>
      <c r="U47" s="283"/>
      <c r="V47" s="281"/>
      <c r="W47" s="282"/>
      <c r="X47" s="282"/>
      <c r="Y47" s="282"/>
      <c r="Z47" s="282"/>
      <c r="AA47" s="283"/>
      <c r="AB47" s="281"/>
      <c r="AC47" s="282"/>
      <c r="AD47" s="282"/>
      <c r="AE47" s="282"/>
      <c r="AF47" s="282"/>
      <c r="AG47" s="283"/>
      <c r="AH47" s="281"/>
      <c r="AI47" s="282"/>
      <c r="AJ47" s="282"/>
      <c r="AK47" s="282"/>
      <c r="AL47" s="282"/>
      <c r="AM47" s="283"/>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81"/>
      <c r="K48" s="282"/>
      <c r="L48" s="282"/>
      <c r="M48" s="282"/>
      <c r="N48" s="282"/>
      <c r="O48" s="283"/>
      <c r="P48" s="281"/>
      <c r="Q48" s="282"/>
      <c r="R48" s="282"/>
      <c r="S48" s="282"/>
      <c r="T48" s="282"/>
      <c r="U48" s="283"/>
      <c r="V48" s="281"/>
      <c r="W48" s="282"/>
      <c r="X48" s="282"/>
      <c r="Y48" s="282"/>
      <c r="Z48" s="282"/>
      <c r="AA48" s="283"/>
      <c r="AB48" s="281"/>
      <c r="AC48" s="282"/>
      <c r="AD48" s="282"/>
      <c r="AE48" s="282"/>
      <c r="AF48" s="282"/>
      <c r="AG48" s="283"/>
      <c r="AH48" s="281"/>
      <c r="AI48" s="282"/>
      <c r="AJ48" s="282"/>
      <c r="AK48" s="282"/>
      <c r="AL48" s="282"/>
      <c r="AM48" s="283"/>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81"/>
      <c r="K49" s="282"/>
      <c r="L49" s="282"/>
      <c r="M49" s="282"/>
      <c r="N49" s="282"/>
      <c r="O49" s="283"/>
      <c r="P49" s="281"/>
      <c r="Q49" s="282"/>
      <c r="R49" s="282"/>
      <c r="S49" s="282"/>
      <c r="T49" s="282"/>
      <c r="U49" s="283"/>
      <c r="V49" s="281"/>
      <c r="W49" s="282"/>
      <c r="X49" s="282"/>
      <c r="Y49" s="282"/>
      <c r="Z49" s="282"/>
      <c r="AA49" s="283"/>
      <c r="AB49" s="281"/>
      <c r="AC49" s="282"/>
      <c r="AD49" s="282"/>
      <c r="AE49" s="282"/>
      <c r="AF49" s="282"/>
      <c r="AG49" s="283"/>
      <c r="AH49" s="281"/>
      <c r="AI49" s="282"/>
      <c r="AJ49" s="282"/>
      <c r="AK49" s="282"/>
      <c r="AL49" s="282"/>
      <c r="AM49" s="283"/>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81"/>
      <c r="K50" s="282"/>
      <c r="L50" s="282"/>
      <c r="M50" s="282"/>
      <c r="N50" s="282"/>
      <c r="O50" s="283"/>
      <c r="P50" s="281"/>
      <c r="Q50" s="282"/>
      <c r="R50" s="282"/>
      <c r="S50" s="282"/>
      <c r="T50" s="282"/>
      <c r="U50" s="283"/>
      <c r="V50" s="281"/>
      <c r="W50" s="282"/>
      <c r="X50" s="282"/>
      <c r="Y50" s="282"/>
      <c r="Z50" s="282"/>
      <c r="AA50" s="283"/>
      <c r="AB50" s="281"/>
      <c r="AC50" s="282"/>
      <c r="AD50" s="282"/>
      <c r="AE50" s="282"/>
      <c r="AF50" s="282"/>
      <c r="AG50" s="283"/>
      <c r="AH50" s="281"/>
      <c r="AI50" s="282"/>
      <c r="AJ50" s="282"/>
      <c r="AK50" s="282"/>
      <c r="AL50" s="282"/>
      <c r="AM50" s="283"/>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84"/>
      <c r="K51" s="285"/>
      <c r="L51" s="285"/>
      <c r="M51" s="285"/>
      <c r="N51" s="285"/>
      <c r="O51" s="286"/>
      <c r="P51" s="284"/>
      <c r="Q51" s="285"/>
      <c r="R51" s="285"/>
      <c r="S51" s="285"/>
      <c r="T51" s="285"/>
      <c r="U51" s="286"/>
      <c r="V51" s="284"/>
      <c r="W51" s="285"/>
      <c r="X51" s="285"/>
      <c r="Y51" s="285"/>
      <c r="Z51" s="285"/>
      <c r="AA51" s="286"/>
      <c r="AB51" s="284"/>
      <c r="AC51" s="285"/>
      <c r="AD51" s="285"/>
      <c r="AE51" s="285"/>
      <c r="AF51" s="285"/>
      <c r="AG51" s="286"/>
      <c r="AH51" s="284"/>
      <c r="AI51" s="285"/>
      <c r="AJ51" s="285"/>
      <c r="AK51" s="285"/>
      <c r="AL51" s="285"/>
      <c r="AM51" s="286"/>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57" t="s">
        <v>153</v>
      </c>
      <c r="C2" s="358"/>
      <c r="D2" s="358"/>
      <c r="E2" s="358"/>
      <c r="F2" s="358"/>
      <c r="G2" s="358"/>
      <c r="H2" s="358"/>
      <c r="I2" s="358"/>
      <c r="J2" s="277" t="s">
        <v>2</v>
      </c>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58"/>
      <c r="C3" s="358"/>
      <c r="D3" s="358"/>
      <c r="E3" s="358"/>
      <c r="F3" s="358"/>
      <c r="G3" s="358"/>
      <c r="H3" s="358"/>
      <c r="I3" s="358"/>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58"/>
      <c r="C4" s="358"/>
      <c r="D4" s="358"/>
      <c r="E4" s="358"/>
      <c r="F4" s="358"/>
      <c r="G4" s="358"/>
      <c r="H4" s="358"/>
      <c r="I4" s="358"/>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89" t="s">
        <v>3</v>
      </c>
      <c r="C6" s="289"/>
      <c r="D6" s="290"/>
      <c r="E6" s="327" t="s">
        <v>112</v>
      </c>
      <c r="F6" s="328"/>
      <c r="G6" s="328"/>
      <c r="H6" s="328"/>
      <c r="I6" s="329"/>
      <c r="J6" s="32" t="str">
        <f>IF(AND('Mapa final'!$AA$9="Muy Alta",'Mapa final'!$AC$9="Leve"),CONCATENATE("R1C",'Mapa final'!$Q$9),"")</f>
        <v/>
      </c>
      <c r="K6" s="33" t="str">
        <f>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IF(AND('Mapa final'!$AA$9="Muy Alta",'Mapa final'!$AC$9="Menor"),CONCATENATE("R1C",'Mapa final'!$Q$9),"")</f>
        <v/>
      </c>
      <c r="Q6" s="33" t="str">
        <f>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IF(AND('Mapa final'!$AA$9="Muy Alta",'Mapa final'!$AC$9="Moderado"),CONCATENATE("R1C",'Mapa final'!$Q$9),"")</f>
        <v/>
      </c>
      <c r="W6" s="33" t="str">
        <f>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IF(AND('Mapa final'!$AA$9="Muy Alta",'Mapa final'!$AC$9="Mayor"),CONCATENATE("R1C",'Mapa final'!$Q$9),"")</f>
        <v/>
      </c>
      <c r="AC6" s="33" t="str">
        <f>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IF(AND('Mapa final'!$AA$9="Muy Alta",'Mapa final'!$AC$9="Catastrófico"),CONCATENATE("R1C",'Mapa final'!$Q$9),"")</f>
        <v/>
      </c>
      <c r="AI6" s="36" t="str">
        <f>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48" t="s">
        <v>75</v>
      </c>
      <c r="AP6" s="349"/>
      <c r="AQ6" s="349"/>
      <c r="AR6" s="349"/>
      <c r="AS6" s="349"/>
      <c r="AT6" s="35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89"/>
      <c r="C7" s="289"/>
      <c r="D7" s="290"/>
      <c r="E7" s="330"/>
      <c r="F7" s="331"/>
      <c r="G7" s="331"/>
      <c r="H7" s="331"/>
      <c r="I7" s="332"/>
      <c r="J7" s="38" t="str">
        <f>IF(AND('Mapa final'!$AA$15="Muy Alta",'Mapa final'!$AC$15="Leve"),CONCATENATE("R2C",'Mapa final'!$Q$15),"")</f>
        <v/>
      </c>
      <c r="K7" s="39" t="str">
        <f>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IF(AND('Mapa final'!$AA$15="Muy Alta",'Mapa final'!$AC$15="Menor"),CONCATENATE("R2C",'Mapa final'!$Q$15),"")</f>
        <v/>
      </c>
      <c r="Q7" s="39" t="str">
        <f>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IF(AND('Mapa final'!$AA$15="Muy Alta",'Mapa final'!$AC$15="Moderado"),CONCATENATE("R2C",'Mapa final'!$Q$15),"")</f>
        <v/>
      </c>
      <c r="W7" s="39" t="str">
        <f>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IF(AND('Mapa final'!$AA$15="Muy Alta",'Mapa final'!$AC$15="Mayor"),CONCATENATE("R2C",'Mapa final'!$Q$15),"")</f>
        <v/>
      </c>
      <c r="AC7" s="39" t="str">
        <f>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IF(AND('Mapa final'!$AA$15="Muy Alta",'Mapa final'!$AC$15="Catastrófico"),CONCATENATE("R2C",'Mapa final'!$Q$15),"")</f>
        <v/>
      </c>
      <c r="AI7" s="42" t="str">
        <f>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51"/>
      <c r="AP7" s="352"/>
      <c r="AQ7" s="352"/>
      <c r="AR7" s="352"/>
      <c r="AS7" s="352"/>
      <c r="AT7" s="353"/>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89"/>
      <c r="C8" s="289"/>
      <c r="D8" s="290"/>
      <c r="E8" s="330"/>
      <c r="F8" s="331"/>
      <c r="G8" s="331"/>
      <c r="H8" s="331"/>
      <c r="I8" s="332"/>
      <c r="J8" s="38" t="str">
        <f>IF(AND('Mapa final'!$AA$21="Muy Alta",'Mapa final'!$AC$21="Leve"),CONCATENATE("R3C",'Mapa final'!$Q$21),"")</f>
        <v/>
      </c>
      <c r="K8" s="39" t="str">
        <f>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IF(AND('Mapa final'!$AA$21="Muy Alta",'Mapa final'!$AC$21="Menor"),CONCATENATE("R3C",'Mapa final'!$Q$21),"")</f>
        <v/>
      </c>
      <c r="Q8" s="39" t="str">
        <f>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IF(AND('Mapa final'!$AA$21="Muy Alta",'Mapa final'!$AC$21="Moderado"),CONCATENATE("R3C",'Mapa final'!$Q$21),"")</f>
        <v/>
      </c>
      <c r="W8" s="39" t="str">
        <f>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IF(AND('Mapa final'!$AA$21="Muy Alta",'Mapa final'!$AC$21="Mayor"),CONCATENATE("R3C",'Mapa final'!$Q$21),"")</f>
        <v/>
      </c>
      <c r="AC8" s="39" t="str">
        <f>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IF(AND('Mapa final'!$AA$21="Muy Alta",'Mapa final'!$AC$21="Catastrófico"),CONCATENATE("R3C",'Mapa final'!$Q$21),"")</f>
        <v/>
      </c>
      <c r="AI8" s="42" t="str">
        <f>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51"/>
      <c r="AP8" s="352"/>
      <c r="AQ8" s="352"/>
      <c r="AR8" s="352"/>
      <c r="AS8" s="352"/>
      <c r="AT8" s="353"/>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89"/>
      <c r="C9" s="289"/>
      <c r="D9" s="290"/>
      <c r="E9" s="330"/>
      <c r="F9" s="331"/>
      <c r="G9" s="331"/>
      <c r="H9" s="331"/>
      <c r="I9" s="332"/>
      <c r="J9" s="38" t="str">
        <f>IF(AND('Mapa final'!$AA$27="Muy Alta",'Mapa final'!$AC$27="Leve"),CONCATENATE("R4C",'Mapa final'!$Q$27),"")</f>
        <v/>
      </c>
      <c r="K9" s="39" t="str">
        <f>IF(AND('Mapa final'!$AA$28="Muy Alta",'Mapa final'!$AC$28="Leve"),CONCATENATE("R4C",'Mapa final'!$Q$28),"")</f>
        <v/>
      </c>
      <c r="L9" s="44" t="str">
        <f>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IF(AND('Mapa final'!$AA$27="Muy Alta",'Mapa final'!$AC$27="Menor"),CONCATENATE("R4C",'Mapa final'!$Q$27),"")</f>
        <v/>
      </c>
      <c r="Q9" s="39" t="str">
        <f>IF(AND('Mapa final'!$AA$28="Muy Alta",'Mapa final'!$AC$28="Menor"),CONCATENATE("R4C",'Mapa final'!$Q$28),"")</f>
        <v/>
      </c>
      <c r="R9" s="44" t="str">
        <f>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IF(AND('Mapa final'!$AA$27="Muy Alta",'Mapa final'!$AC$27="Moderado"),CONCATENATE("R4C",'Mapa final'!$Q$27),"")</f>
        <v/>
      </c>
      <c r="W9" s="39" t="str">
        <f>IF(AND('Mapa final'!$AA$28="Muy Alta",'Mapa final'!$AC$28="Moderado"),CONCATENATE("R4C",'Mapa final'!$Q$28),"")</f>
        <v/>
      </c>
      <c r="X9" s="44" t="str">
        <f>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IF(AND('Mapa final'!$AA$27="Muy Alta",'Mapa final'!$AC$27="Mayor"),CONCATENATE("R4C",'Mapa final'!$Q$27),"")</f>
        <v/>
      </c>
      <c r="AC9" s="39" t="str">
        <f>IF(AND('Mapa final'!$AA$28="Muy Alta",'Mapa final'!$AC$28="Mayor"),CONCATENATE("R4C",'Mapa final'!$Q$28),"")</f>
        <v/>
      </c>
      <c r="AD9" s="44" t="str">
        <f>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IF(AND('Mapa final'!$AA$27="Muy Alta",'Mapa final'!$AC$27="Catastrófico"),CONCATENATE("R4C",'Mapa final'!$Q$27),"")</f>
        <v/>
      </c>
      <c r="AI9" s="42" t="str">
        <f>IF(AND('Mapa final'!$AA$28="Muy Alta",'Mapa final'!$AC$28="Catastrófico"),CONCATENATE("R4C",'Mapa final'!$Q$28),"")</f>
        <v/>
      </c>
      <c r="AJ9" s="42" t="str">
        <f>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51"/>
      <c r="AP9" s="352"/>
      <c r="AQ9" s="352"/>
      <c r="AR9" s="352"/>
      <c r="AS9" s="352"/>
      <c r="AT9" s="353"/>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89"/>
      <c r="C10" s="289"/>
      <c r="D10" s="290"/>
      <c r="E10" s="330"/>
      <c r="F10" s="331"/>
      <c r="G10" s="331"/>
      <c r="H10" s="331"/>
      <c r="I10" s="332"/>
      <c r="J10" s="38" t="str">
        <f>IF(AND('Mapa final'!$AA$33="Muy Alta",'Mapa final'!$AC$33="Leve"),CONCATENATE("R5C",'Mapa final'!$Q$33),"")</f>
        <v/>
      </c>
      <c r="K10" s="39" t="str">
        <f>IF(AND('Mapa final'!$AA$34="Muy Alta",'Mapa final'!$AC$34="Leve"),CONCATENATE("R5C",'Mapa final'!$Q$34),"")</f>
        <v/>
      </c>
      <c r="L10" s="44" t="str">
        <f>IF(AND('Mapa final'!$AA$35="Muy Alta",'Mapa final'!$AC$35="Leve"),CONCATENATE("R5C",'Mapa final'!$Q$35),"")</f>
        <v/>
      </c>
      <c r="M10" s="44" t="str">
        <f>IF(AND('Mapa final'!$AA$36="Muy Alta",'Mapa final'!$AC$36="Leve"),CONCATENATE("R5C",'Mapa final'!$Q$36),"")</f>
        <v/>
      </c>
      <c r="N10" s="44" t="str">
        <f>IF(AND('Mapa final'!$AA$37="Muy Alta",'Mapa final'!$AC$37="Leve"),CONCATENATE("R5C",'Mapa final'!$Q$37),"")</f>
        <v/>
      </c>
      <c r="O10" s="40" t="str">
        <f>IF(AND('Mapa final'!$AA$38="Muy Alta",'Mapa final'!$AC$38="Leve"),CONCATENATE("R5C",'Mapa final'!$Q$38),"")</f>
        <v/>
      </c>
      <c r="P10" s="38" t="str">
        <f>IF(AND('Mapa final'!$AA$33="Muy Alta",'Mapa final'!$AC$33="Menor"),CONCATENATE("R5C",'Mapa final'!$Q$33),"")</f>
        <v/>
      </c>
      <c r="Q10" s="39" t="str">
        <f>IF(AND('Mapa final'!$AA$34="Muy Alta",'Mapa final'!$AC$34="Menor"),CONCATENATE("R5C",'Mapa final'!$Q$34),"")</f>
        <v/>
      </c>
      <c r="R10" s="44" t="str">
        <f>IF(AND('Mapa final'!$AA$35="Muy Alta",'Mapa final'!$AC$35="Menor"),CONCATENATE("R5C",'Mapa final'!$Q$35),"")</f>
        <v/>
      </c>
      <c r="S10" s="44" t="str">
        <f>IF(AND('Mapa final'!$AA$36="Muy Alta",'Mapa final'!$AC$36="Menor"),CONCATENATE("R5C",'Mapa final'!$Q$36),"")</f>
        <v/>
      </c>
      <c r="T10" s="44" t="str">
        <f>IF(AND('Mapa final'!$AA$37="Muy Alta",'Mapa final'!$AC$37="Menor"),CONCATENATE("R5C",'Mapa final'!$Q$37),"")</f>
        <v/>
      </c>
      <c r="U10" s="40" t="str">
        <f>IF(AND('Mapa final'!$AA$38="Muy Alta",'Mapa final'!$AC$38="Menor"),CONCATENATE("R5C",'Mapa final'!$Q$38),"")</f>
        <v/>
      </c>
      <c r="V10" s="38" t="str">
        <f>IF(AND('Mapa final'!$AA$33="Muy Alta",'Mapa final'!$AC$33="Moderado"),CONCATENATE("R5C",'Mapa final'!$Q$33),"")</f>
        <v/>
      </c>
      <c r="W10" s="39" t="str">
        <f>IF(AND('Mapa final'!$AA$34="Muy Alta",'Mapa final'!$AC$34="Moderado"),CONCATENATE("R5C",'Mapa final'!$Q$34),"")</f>
        <v/>
      </c>
      <c r="X10" s="44" t="str">
        <f>IF(AND('Mapa final'!$AA$35="Muy Alta",'Mapa final'!$AC$35="Moderado"),CONCATENATE("R5C",'Mapa final'!$Q$35),"")</f>
        <v/>
      </c>
      <c r="Y10" s="44" t="str">
        <f>IF(AND('Mapa final'!$AA$36="Muy Alta",'Mapa final'!$AC$36="Moderado"),CONCATENATE("R5C",'Mapa final'!$Q$36),"")</f>
        <v/>
      </c>
      <c r="Z10" s="44" t="str">
        <f>IF(AND('Mapa final'!$AA$37="Muy Alta",'Mapa final'!$AC$37="Moderado"),CONCATENATE("R5C",'Mapa final'!$Q$37),"")</f>
        <v/>
      </c>
      <c r="AA10" s="40" t="str">
        <f>IF(AND('Mapa final'!$AA$38="Muy Alta",'Mapa final'!$AC$38="Moderado"),CONCATENATE("R5C",'Mapa final'!$Q$38),"")</f>
        <v/>
      </c>
      <c r="AB10" s="38" t="str">
        <f>IF(AND('Mapa final'!$AA$33="Muy Alta",'Mapa final'!$AC$33="Mayor"),CONCATENATE("R5C",'Mapa final'!$Q$33),"")</f>
        <v/>
      </c>
      <c r="AC10" s="39" t="str">
        <f>IF(AND('Mapa final'!$AA$34="Muy Alta",'Mapa final'!$AC$34="Mayor"),CONCATENATE("R5C",'Mapa final'!$Q$34),"")</f>
        <v/>
      </c>
      <c r="AD10" s="44" t="str">
        <f>IF(AND('Mapa final'!$AA$35="Muy Alta",'Mapa final'!$AC$35="Mayor"),CONCATENATE("R5C",'Mapa final'!$Q$35),"")</f>
        <v/>
      </c>
      <c r="AE10" s="44" t="str">
        <f>IF(AND('Mapa final'!$AA$36="Muy Alta",'Mapa final'!$AC$36="Mayor"),CONCATENATE("R5C",'Mapa final'!$Q$36),"")</f>
        <v/>
      </c>
      <c r="AF10" s="44" t="str">
        <f>IF(AND('Mapa final'!$AA$37="Muy Alta",'Mapa final'!$AC$37="Mayor"),CONCATENATE("R5C",'Mapa final'!$Q$37),"")</f>
        <v/>
      </c>
      <c r="AG10" s="40" t="str">
        <f>IF(AND('Mapa final'!$AA$38="Muy Alta",'Mapa final'!$AC$38="Mayor"),CONCATENATE("R5C",'Mapa final'!$Q$38),"")</f>
        <v/>
      </c>
      <c r="AH10" s="41" t="str">
        <f>IF(AND('Mapa final'!$AA$33="Muy Alta",'Mapa final'!$AC$33="Catastrófico"),CONCATENATE("R5C",'Mapa final'!$Q$33),"")</f>
        <v/>
      </c>
      <c r="AI10" s="42" t="str">
        <f>IF(AND('Mapa final'!$AA$34="Muy Alta",'Mapa final'!$AC$34="Catastrófico"),CONCATENATE("R5C",'Mapa final'!$Q$34),"")</f>
        <v/>
      </c>
      <c r="AJ10" s="42" t="str">
        <f>IF(AND('Mapa final'!$AA$35="Muy Alta",'Mapa final'!$AC$35="Catastrófico"),CONCATENATE("R5C",'Mapa final'!$Q$35),"")</f>
        <v/>
      </c>
      <c r="AK10" s="42" t="str">
        <f>IF(AND('Mapa final'!$AA$36="Muy Alta",'Mapa final'!$AC$36="Catastrófico"),CONCATENATE("R5C",'Mapa final'!$Q$36),"")</f>
        <v/>
      </c>
      <c r="AL10" s="42" t="str">
        <f>IF(AND('Mapa final'!$AA$37="Muy Alta",'Mapa final'!$AC$37="Catastrófico"),CONCATENATE("R5C",'Mapa final'!$Q$37),"")</f>
        <v/>
      </c>
      <c r="AM10" s="43" t="str">
        <f>IF(AND('Mapa final'!$AA$38="Muy Alta",'Mapa final'!$AC$38="Catastrófico"),CONCATENATE("R5C",'Mapa final'!$Q$38),"")</f>
        <v/>
      </c>
      <c r="AN10" s="70"/>
      <c r="AO10" s="351"/>
      <c r="AP10" s="352"/>
      <c r="AQ10" s="352"/>
      <c r="AR10" s="352"/>
      <c r="AS10" s="352"/>
      <c r="AT10" s="353"/>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89"/>
      <c r="C11" s="289"/>
      <c r="D11" s="290"/>
      <c r="E11" s="330"/>
      <c r="F11" s="331"/>
      <c r="G11" s="331"/>
      <c r="H11" s="331"/>
      <c r="I11" s="332"/>
      <c r="J11" s="38" t="str">
        <f>IF(AND('Mapa final'!$AA$39="Muy Alta",'Mapa final'!$AC$39="Leve"),CONCATENATE("R6C",'Mapa final'!$Q$39),"")</f>
        <v/>
      </c>
      <c r="K11" s="39" t="str">
        <f>IF(AND('Mapa final'!$AA$40="Muy Alta",'Mapa final'!$AC$40="Leve"),CONCATENATE("R6C",'Mapa final'!$Q$40),"")</f>
        <v/>
      </c>
      <c r="L11" s="44" t="str">
        <f>IF(AND('Mapa final'!$AA$41="Muy Alta",'Mapa final'!$AC$41="Leve"),CONCATENATE("R6C",'Mapa final'!$Q$41),"")</f>
        <v/>
      </c>
      <c r="M11" s="44" t="str">
        <f>IF(AND('Mapa final'!$AA$42="Muy Alta",'Mapa final'!$AC$42="Leve"),CONCATENATE("R6C",'Mapa final'!$Q$42),"")</f>
        <v/>
      </c>
      <c r="N11" s="44" t="str">
        <f>IF(AND('Mapa final'!$AA$43="Muy Alta",'Mapa final'!$AC$43="Leve"),CONCATENATE("R6C",'Mapa final'!$Q$43),"")</f>
        <v/>
      </c>
      <c r="O11" s="40" t="str">
        <f>IF(AND('Mapa final'!$AA$44="Muy Alta",'Mapa final'!$AC$44="Leve"),CONCATENATE("R6C",'Mapa final'!$Q$44),"")</f>
        <v/>
      </c>
      <c r="P11" s="38" t="str">
        <f>IF(AND('Mapa final'!$AA$39="Muy Alta",'Mapa final'!$AC$39="Menor"),CONCATENATE("R6C",'Mapa final'!$Q$39),"")</f>
        <v/>
      </c>
      <c r="Q11" s="39" t="str">
        <f>IF(AND('Mapa final'!$AA$40="Muy Alta",'Mapa final'!$AC$40="Menor"),CONCATENATE("R6C",'Mapa final'!$Q$40),"")</f>
        <v/>
      </c>
      <c r="R11" s="44" t="str">
        <f>IF(AND('Mapa final'!$AA$41="Muy Alta",'Mapa final'!$AC$41="Menor"),CONCATENATE("R6C",'Mapa final'!$Q$41),"")</f>
        <v/>
      </c>
      <c r="S11" s="44" t="str">
        <f>IF(AND('Mapa final'!$AA$42="Muy Alta",'Mapa final'!$AC$42="Menor"),CONCATENATE("R6C",'Mapa final'!$Q$42),"")</f>
        <v/>
      </c>
      <c r="T11" s="44" t="str">
        <f>IF(AND('Mapa final'!$AA$43="Muy Alta",'Mapa final'!$AC$43="Menor"),CONCATENATE("R6C",'Mapa final'!$Q$43),"")</f>
        <v/>
      </c>
      <c r="U11" s="40" t="str">
        <f>IF(AND('Mapa final'!$AA$44="Muy Alta",'Mapa final'!$AC$44="Menor"),CONCATENATE("R6C",'Mapa final'!$Q$44),"")</f>
        <v/>
      </c>
      <c r="V11" s="38" t="str">
        <f>IF(AND('Mapa final'!$AA$39="Muy Alta",'Mapa final'!$AC$39="Moderado"),CONCATENATE("R6C",'Mapa final'!$Q$39),"")</f>
        <v/>
      </c>
      <c r="W11" s="39" t="str">
        <f>IF(AND('Mapa final'!$AA$40="Muy Alta",'Mapa final'!$AC$40="Moderado"),CONCATENATE("R6C",'Mapa final'!$Q$40),"")</f>
        <v/>
      </c>
      <c r="X11" s="44" t="str">
        <f>IF(AND('Mapa final'!$AA$41="Muy Alta",'Mapa final'!$AC$41="Moderado"),CONCATENATE("R6C",'Mapa final'!$Q$41),"")</f>
        <v/>
      </c>
      <c r="Y11" s="44" t="str">
        <f>IF(AND('Mapa final'!$AA$42="Muy Alta",'Mapa final'!$AC$42="Moderado"),CONCATENATE("R6C",'Mapa final'!$Q$42),"")</f>
        <v/>
      </c>
      <c r="Z11" s="44" t="str">
        <f>IF(AND('Mapa final'!$AA$43="Muy Alta",'Mapa final'!$AC$43="Moderado"),CONCATENATE("R6C",'Mapa final'!$Q$43),"")</f>
        <v/>
      </c>
      <c r="AA11" s="40" t="str">
        <f>IF(AND('Mapa final'!$AA$44="Muy Alta",'Mapa final'!$AC$44="Moderado"),CONCATENATE("R6C",'Mapa final'!$Q$44),"")</f>
        <v/>
      </c>
      <c r="AB11" s="38" t="str">
        <f>IF(AND('Mapa final'!$AA$39="Muy Alta",'Mapa final'!$AC$39="Mayor"),CONCATENATE("R6C",'Mapa final'!$Q$39),"")</f>
        <v/>
      </c>
      <c r="AC11" s="39" t="str">
        <f>IF(AND('Mapa final'!$AA$40="Muy Alta",'Mapa final'!$AC$40="Mayor"),CONCATENATE("R6C",'Mapa final'!$Q$40),"")</f>
        <v/>
      </c>
      <c r="AD11" s="44" t="str">
        <f>IF(AND('Mapa final'!$AA$41="Muy Alta",'Mapa final'!$AC$41="Mayor"),CONCATENATE("R6C",'Mapa final'!$Q$41),"")</f>
        <v/>
      </c>
      <c r="AE11" s="44" t="str">
        <f>IF(AND('Mapa final'!$AA$42="Muy Alta",'Mapa final'!$AC$42="Mayor"),CONCATENATE("R6C",'Mapa final'!$Q$42),"")</f>
        <v/>
      </c>
      <c r="AF11" s="44" t="str">
        <f>IF(AND('Mapa final'!$AA$43="Muy Alta",'Mapa final'!$AC$43="Mayor"),CONCATENATE("R6C",'Mapa final'!$Q$43),"")</f>
        <v/>
      </c>
      <c r="AG11" s="40" t="str">
        <f>IF(AND('Mapa final'!$AA$44="Muy Alta",'Mapa final'!$AC$44="Mayor"),CONCATENATE("R6C",'Mapa final'!$Q$44),"")</f>
        <v/>
      </c>
      <c r="AH11" s="41" t="str">
        <f>IF(AND('Mapa final'!$AA$39="Muy Alta",'Mapa final'!$AC$39="Catastrófico"),CONCATENATE("R6C",'Mapa final'!$Q$39),"")</f>
        <v/>
      </c>
      <c r="AI11" s="42" t="str">
        <f>IF(AND('Mapa final'!$AA$40="Muy Alta",'Mapa final'!$AC$40="Catastrófico"),CONCATENATE("R6C",'Mapa final'!$Q$40),"")</f>
        <v/>
      </c>
      <c r="AJ11" s="42" t="str">
        <f>IF(AND('Mapa final'!$AA$41="Muy Alta",'Mapa final'!$AC$41="Catastrófico"),CONCATENATE("R6C",'Mapa final'!$Q$41),"")</f>
        <v/>
      </c>
      <c r="AK11" s="42" t="str">
        <f>IF(AND('Mapa final'!$AA$42="Muy Alta",'Mapa final'!$AC$42="Catastrófico"),CONCATENATE("R6C",'Mapa final'!$Q$42),"")</f>
        <v/>
      </c>
      <c r="AL11" s="42" t="str">
        <f>IF(AND('Mapa final'!$AA$43="Muy Alta",'Mapa final'!$AC$43="Catastrófico"),CONCATENATE("R6C",'Mapa final'!$Q$43),"")</f>
        <v/>
      </c>
      <c r="AM11" s="43" t="str">
        <f>IF(AND('Mapa final'!$AA$44="Muy Alta",'Mapa final'!$AC$44="Catastrófico"),CONCATENATE("R6C",'Mapa final'!$Q$44),"")</f>
        <v/>
      </c>
      <c r="AN11" s="70"/>
      <c r="AO11" s="351"/>
      <c r="AP11" s="352"/>
      <c r="AQ11" s="352"/>
      <c r="AR11" s="352"/>
      <c r="AS11" s="352"/>
      <c r="AT11" s="353"/>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89"/>
      <c r="C12" s="289"/>
      <c r="D12" s="290"/>
      <c r="E12" s="330"/>
      <c r="F12" s="331"/>
      <c r="G12" s="331"/>
      <c r="H12" s="331"/>
      <c r="I12" s="332"/>
      <c r="J12" s="38" t="str">
        <f>IF(AND('Mapa final'!$AA$45="Muy Alta",'Mapa final'!$AC$45="Leve"),CONCATENATE("R7C",'Mapa final'!$Q$45),"")</f>
        <v/>
      </c>
      <c r="K12" s="39" t="str">
        <f>IF(AND('Mapa final'!$AA$46="Muy Alta",'Mapa final'!$AC$46="Leve"),CONCATENATE("R7C",'Mapa final'!$Q$46),"")</f>
        <v/>
      </c>
      <c r="L12" s="44" t="str">
        <f>IF(AND('Mapa final'!$AA$47="Muy Alta",'Mapa final'!$AC$47="Leve"),CONCATENATE("R7C",'Mapa final'!$Q$47),"")</f>
        <v/>
      </c>
      <c r="M12" s="44" t="str">
        <f>IF(AND('Mapa final'!$AA$48="Muy Alta",'Mapa final'!$AC$48="Leve"),CONCATENATE("R7C",'Mapa final'!$Q$48),"")</f>
        <v/>
      </c>
      <c r="N12" s="44" t="str">
        <f>IF(AND('Mapa final'!$AA$49="Muy Alta",'Mapa final'!$AC$49="Leve"),CONCATENATE("R7C",'Mapa final'!$Q$49),"")</f>
        <v/>
      </c>
      <c r="O12" s="40" t="str">
        <f>IF(AND('Mapa final'!$AA$50="Muy Alta",'Mapa final'!$AC$50="Leve"),CONCATENATE("R7C",'Mapa final'!$Q$50),"")</f>
        <v/>
      </c>
      <c r="P12" s="38" t="str">
        <f>IF(AND('Mapa final'!$AA$45="Muy Alta",'Mapa final'!$AC$45="Menor"),CONCATENATE("R7C",'Mapa final'!$Q$45),"")</f>
        <v/>
      </c>
      <c r="Q12" s="39" t="str">
        <f>IF(AND('Mapa final'!$AA$46="Muy Alta",'Mapa final'!$AC$46="Menor"),CONCATENATE("R7C",'Mapa final'!$Q$46),"")</f>
        <v/>
      </c>
      <c r="R12" s="44" t="str">
        <f>IF(AND('Mapa final'!$AA$47="Muy Alta",'Mapa final'!$AC$47="Menor"),CONCATENATE("R7C",'Mapa final'!$Q$47),"")</f>
        <v/>
      </c>
      <c r="S12" s="44" t="str">
        <f>IF(AND('Mapa final'!$AA$48="Muy Alta",'Mapa final'!$AC$48="Menor"),CONCATENATE("R7C",'Mapa final'!$Q$48),"")</f>
        <v/>
      </c>
      <c r="T12" s="44" t="str">
        <f>IF(AND('Mapa final'!$AA$49="Muy Alta",'Mapa final'!$AC$49="Menor"),CONCATENATE("R7C",'Mapa final'!$Q$49),"")</f>
        <v/>
      </c>
      <c r="U12" s="40" t="str">
        <f>IF(AND('Mapa final'!$AA$50="Muy Alta",'Mapa final'!$AC$50="Menor"),CONCATENATE("R7C",'Mapa final'!$Q$50),"")</f>
        <v/>
      </c>
      <c r="V12" s="38" t="str">
        <f>IF(AND('Mapa final'!$AA$45="Muy Alta",'Mapa final'!$AC$45="Moderado"),CONCATENATE("R7C",'Mapa final'!$Q$45),"")</f>
        <v/>
      </c>
      <c r="W12" s="39" t="str">
        <f>IF(AND('Mapa final'!$AA$46="Muy Alta",'Mapa final'!$AC$46="Moderado"),CONCATENATE("R7C",'Mapa final'!$Q$46),"")</f>
        <v/>
      </c>
      <c r="X12" s="44" t="str">
        <f>IF(AND('Mapa final'!$AA$47="Muy Alta",'Mapa final'!$AC$47="Moderado"),CONCATENATE("R7C",'Mapa final'!$Q$47),"")</f>
        <v/>
      </c>
      <c r="Y12" s="44" t="str">
        <f>IF(AND('Mapa final'!$AA$48="Muy Alta",'Mapa final'!$AC$48="Moderado"),CONCATENATE("R7C",'Mapa final'!$Q$48),"")</f>
        <v/>
      </c>
      <c r="Z12" s="44" t="str">
        <f>IF(AND('Mapa final'!$AA$49="Muy Alta",'Mapa final'!$AC$49="Moderado"),CONCATENATE("R7C",'Mapa final'!$Q$49),"")</f>
        <v/>
      </c>
      <c r="AA12" s="40" t="str">
        <f>IF(AND('Mapa final'!$AA$50="Muy Alta",'Mapa final'!$AC$50="Moderado"),CONCATENATE("R7C",'Mapa final'!$Q$50),"")</f>
        <v/>
      </c>
      <c r="AB12" s="38" t="str">
        <f>IF(AND('Mapa final'!$AA$45="Muy Alta",'Mapa final'!$AC$45="Mayor"),CONCATENATE("R7C",'Mapa final'!$Q$45),"")</f>
        <v/>
      </c>
      <c r="AC12" s="39" t="str">
        <f>IF(AND('Mapa final'!$AA$46="Muy Alta",'Mapa final'!$AC$46="Mayor"),CONCATENATE("R7C",'Mapa final'!$Q$46),"")</f>
        <v/>
      </c>
      <c r="AD12" s="44" t="str">
        <f>IF(AND('Mapa final'!$AA$47="Muy Alta",'Mapa final'!$AC$47="Mayor"),CONCATENATE("R7C",'Mapa final'!$Q$47),"")</f>
        <v/>
      </c>
      <c r="AE12" s="44" t="str">
        <f>IF(AND('Mapa final'!$AA$48="Muy Alta",'Mapa final'!$AC$48="Mayor"),CONCATENATE("R7C",'Mapa final'!$Q$48),"")</f>
        <v/>
      </c>
      <c r="AF12" s="44" t="str">
        <f>IF(AND('Mapa final'!$AA$49="Muy Alta",'Mapa final'!$AC$49="Mayor"),CONCATENATE("R7C",'Mapa final'!$Q$49),"")</f>
        <v/>
      </c>
      <c r="AG12" s="40" t="str">
        <f>IF(AND('Mapa final'!$AA$50="Muy Alta",'Mapa final'!$AC$50="Mayor"),CONCATENATE("R7C",'Mapa final'!$Q$50),"")</f>
        <v/>
      </c>
      <c r="AH12" s="41" t="str">
        <f>IF(AND('Mapa final'!$AA$45="Muy Alta",'Mapa final'!$AC$45="Catastrófico"),CONCATENATE("R7C",'Mapa final'!$Q$45),"")</f>
        <v/>
      </c>
      <c r="AI12" s="42" t="str">
        <f>IF(AND('Mapa final'!$AA$46="Muy Alta",'Mapa final'!$AC$46="Catastrófico"),CONCATENATE("R7C",'Mapa final'!$Q$46),"")</f>
        <v/>
      </c>
      <c r="AJ12" s="42" t="str">
        <f>IF(AND('Mapa final'!$AA$47="Muy Alta",'Mapa final'!$AC$47="Catastrófico"),CONCATENATE("R7C",'Mapa final'!$Q$47),"")</f>
        <v/>
      </c>
      <c r="AK12" s="42" t="str">
        <f>IF(AND('Mapa final'!$AA$48="Muy Alta",'Mapa final'!$AC$48="Catastrófico"),CONCATENATE("R7C",'Mapa final'!$Q$48),"")</f>
        <v/>
      </c>
      <c r="AL12" s="42" t="str">
        <f>IF(AND('Mapa final'!$AA$49="Muy Alta",'Mapa final'!$AC$49="Catastrófico"),CONCATENATE("R7C",'Mapa final'!$Q$49),"")</f>
        <v/>
      </c>
      <c r="AM12" s="43" t="str">
        <f>IF(AND('Mapa final'!$AA$50="Muy Alta",'Mapa final'!$AC$50="Catastrófico"),CONCATENATE("R7C",'Mapa final'!$Q$50),"")</f>
        <v/>
      </c>
      <c r="AN12" s="70"/>
      <c r="AO12" s="351"/>
      <c r="AP12" s="352"/>
      <c r="AQ12" s="352"/>
      <c r="AR12" s="352"/>
      <c r="AS12" s="352"/>
      <c r="AT12" s="353"/>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89"/>
      <c r="C13" s="289"/>
      <c r="D13" s="290"/>
      <c r="E13" s="330"/>
      <c r="F13" s="331"/>
      <c r="G13" s="331"/>
      <c r="H13" s="331"/>
      <c r="I13" s="332"/>
      <c r="J13" s="38" t="str">
        <f>IF(AND('Mapa final'!$AA$51="Muy Alta",'Mapa final'!$AC$51="Leve"),CONCATENATE("R8C",'Mapa final'!$Q$51),"")</f>
        <v/>
      </c>
      <c r="K13" s="39" t="str">
        <f>IF(AND('Mapa final'!$AA$52="Muy Alta",'Mapa final'!$AC$52="Leve"),CONCATENATE("R8C",'Mapa final'!$Q$52),"")</f>
        <v/>
      </c>
      <c r="L13" s="44" t="str">
        <f>IF(AND('Mapa final'!$AA$53="Muy Alta",'Mapa final'!$AC$53="Leve"),CONCATENATE("R8C",'Mapa final'!$Q$53),"")</f>
        <v/>
      </c>
      <c r="M13" s="44" t="str">
        <f>IF(AND('Mapa final'!$AA$54="Muy Alta",'Mapa final'!$AC$54="Leve"),CONCATENATE("R8C",'Mapa final'!$Q$54),"")</f>
        <v/>
      </c>
      <c r="N13" s="44" t="str">
        <f>IF(AND('Mapa final'!$AA$55="Muy Alta",'Mapa final'!$AC$55="Leve"),CONCATENATE("R8C",'Mapa final'!$Q$55),"")</f>
        <v/>
      </c>
      <c r="O13" s="40" t="str">
        <f>IF(AND('Mapa final'!$AA$56="Muy Alta",'Mapa final'!$AC$56="Leve"),CONCATENATE("R8C",'Mapa final'!$Q$56),"")</f>
        <v/>
      </c>
      <c r="P13" s="38" t="str">
        <f>IF(AND('Mapa final'!$AA$51="Muy Alta",'Mapa final'!$AC$51="Menor"),CONCATENATE("R8C",'Mapa final'!$Q$51),"")</f>
        <v/>
      </c>
      <c r="Q13" s="39" t="str">
        <f>IF(AND('Mapa final'!$AA$52="Muy Alta",'Mapa final'!$AC$52="Menor"),CONCATENATE("R8C",'Mapa final'!$Q$52),"")</f>
        <v/>
      </c>
      <c r="R13" s="44" t="str">
        <f>IF(AND('Mapa final'!$AA$53="Muy Alta",'Mapa final'!$AC$53="Menor"),CONCATENATE("R8C",'Mapa final'!$Q$53),"")</f>
        <v/>
      </c>
      <c r="S13" s="44" t="str">
        <f>IF(AND('Mapa final'!$AA$54="Muy Alta",'Mapa final'!$AC$54="Menor"),CONCATENATE("R8C",'Mapa final'!$Q$54),"")</f>
        <v/>
      </c>
      <c r="T13" s="44" t="str">
        <f>IF(AND('Mapa final'!$AA$55="Muy Alta",'Mapa final'!$AC$55="Menor"),CONCATENATE("R8C",'Mapa final'!$Q$55),"")</f>
        <v/>
      </c>
      <c r="U13" s="40" t="str">
        <f>IF(AND('Mapa final'!$AA$56="Muy Alta",'Mapa final'!$AC$56="Menor"),CONCATENATE("R8C",'Mapa final'!$Q$56),"")</f>
        <v/>
      </c>
      <c r="V13" s="38" t="str">
        <f>IF(AND('Mapa final'!$AA$51="Muy Alta",'Mapa final'!$AC$51="Moderado"),CONCATENATE("R8C",'Mapa final'!$Q$51),"")</f>
        <v/>
      </c>
      <c r="W13" s="39" t="str">
        <f>IF(AND('Mapa final'!$AA$52="Muy Alta",'Mapa final'!$AC$52="Moderado"),CONCATENATE("R8C",'Mapa final'!$Q$52),"")</f>
        <v/>
      </c>
      <c r="X13" s="44" t="str">
        <f>IF(AND('Mapa final'!$AA$53="Muy Alta",'Mapa final'!$AC$53="Moderado"),CONCATENATE("R8C",'Mapa final'!$Q$53),"")</f>
        <v/>
      </c>
      <c r="Y13" s="44" t="str">
        <f>IF(AND('Mapa final'!$AA$54="Muy Alta",'Mapa final'!$AC$54="Moderado"),CONCATENATE("R8C",'Mapa final'!$Q$54),"")</f>
        <v/>
      </c>
      <c r="Z13" s="44" t="str">
        <f>IF(AND('Mapa final'!$AA$55="Muy Alta",'Mapa final'!$AC$55="Moderado"),CONCATENATE("R8C",'Mapa final'!$Q$55),"")</f>
        <v/>
      </c>
      <c r="AA13" s="40" t="str">
        <f>IF(AND('Mapa final'!$AA$56="Muy Alta",'Mapa final'!$AC$56="Moderado"),CONCATENATE("R8C",'Mapa final'!$Q$56),"")</f>
        <v/>
      </c>
      <c r="AB13" s="38" t="str">
        <f>IF(AND('Mapa final'!$AA$51="Muy Alta",'Mapa final'!$AC$51="Mayor"),CONCATENATE("R8C",'Mapa final'!$Q$51),"")</f>
        <v/>
      </c>
      <c r="AC13" s="39" t="str">
        <f>IF(AND('Mapa final'!$AA$52="Muy Alta",'Mapa final'!$AC$52="Mayor"),CONCATENATE("R8C",'Mapa final'!$Q$52),"")</f>
        <v/>
      </c>
      <c r="AD13" s="44" t="str">
        <f>IF(AND('Mapa final'!$AA$53="Muy Alta",'Mapa final'!$AC$53="Mayor"),CONCATENATE("R8C",'Mapa final'!$Q$53),"")</f>
        <v/>
      </c>
      <c r="AE13" s="44" t="str">
        <f>IF(AND('Mapa final'!$AA$54="Muy Alta",'Mapa final'!$AC$54="Mayor"),CONCATENATE("R8C",'Mapa final'!$Q$54),"")</f>
        <v/>
      </c>
      <c r="AF13" s="44" t="str">
        <f>IF(AND('Mapa final'!$AA$55="Muy Alta",'Mapa final'!$AC$55="Mayor"),CONCATENATE("R8C",'Mapa final'!$Q$55),"")</f>
        <v/>
      </c>
      <c r="AG13" s="40" t="str">
        <f>IF(AND('Mapa final'!$AA$56="Muy Alta",'Mapa final'!$AC$56="Mayor"),CONCATENATE("R8C",'Mapa final'!$Q$56),"")</f>
        <v/>
      </c>
      <c r="AH13" s="41" t="str">
        <f>IF(AND('Mapa final'!$AA$51="Muy Alta",'Mapa final'!$AC$51="Catastrófico"),CONCATENATE("R8C",'Mapa final'!$Q$51),"")</f>
        <v/>
      </c>
      <c r="AI13" s="42" t="str">
        <f>IF(AND('Mapa final'!$AA$52="Muy Alta",'Mapa final'!$AC$52="Catastrófico"),CONCATENATE("R8C",'Mapa final'!$Q$52),"")</f>
        <v/>
      </c>
      <c r="AJ13" s="42" t="str">
        <f>IF(AND('Mapa final'!$AA$53="Muy Alta",'Mapa final'!$AC$53="Catastrófico"),CONCATENATE("R8C",'Mapa final'!$Q$53),"")</f>
        <v/>
      </c>
      <c r="AK13" s="42" t="str">
        <f>IF(AND('Mapa final'!$AA$54="Muy Alta",'Mapa final'!$AC$54="Catastrófico"),CONCATENATE("R8C",'Mapa final'!$Q$54),"")</f>
        <v/>
      </c>
      <c r="AL13" s="42" t="str">
        <f>IF(AND('Mapa final'!$AA$55="Muy Alta",'Mapa final'!$AC$55="Catastrófico"),CONCATENATE("R8C",'Mapa final'!$Q$55),"")</f>
        <v/>
      </c>
      <c r="AM13" s="43" t="str">
        <f>IF(AND('Mapa final'!$AA$56="Muy Alta",'Mapa final'!$AC$56="Catastrófico"),CONCATENATE("R8C",'Mapa final'!$Q$56),"")</f>
        <v/>
      </c>
      <c r="AN13" s="70"/>
      <c r="AO13" s="351"/>
      <c r="AP13" s="352"/>
      <c r="AQ13" s="352"/>
      <c r="AR13" s="352"/>
      <c r="AS13" s="352"/>
      <c r="AT13" s="353"/>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89"/>
      <c r="C14" s="289"/>
      <c r="D14" s="290"/>
      <c r="E14" s="330"/>
      <c r="F14" s="331"/>
      <c r="G14" s="331"/>
      <c r="H14" s="331"/>
      <c r="I14" s="332"/>
      <c r="J14" s="38" t="str">
        <f>IF(AND('Mapa final'!$AA$57="Muy Alta",'Mapa final'!$AC$57="Leve"),CONCATENATE("R9C",'Mapa final'!$Q$57),"")</f>
        <v/>
      </c>
      <c r="K14" s="39" t="str">
        <f>IF(AND('Mapa final'!$AA$58="Muy Alta",'Mapa final'!$AC$58="Leve"),CONCATENATE("R9C",'Mapa final'!$Q$58),"")</f>
        <v/>
      </c>
      <c r="L14" s="44" t="str">
        <f>IF(AND('Mapa final'!$AA$59="Muy Alta",'Mapa final'!$AC$59="Leve"),CONCATENATE("R9C",'Mapa final'!$Q$59),"")</f>
        <v/>
      </c>
      <c r="M14" s="44" t="str">
        <f>IF(AND('Mapa final'!$AA$60="Muy Alta",'Mapa final'!$AC$60="Leve"),CONCATENATE("R9C",'Mapa final'!$Q$60),"")</f>
        <v/>
      </c>
      <c r="N14" s="44" t="str">
        <f>IF(AND('Mapa final'!$AA$61="Muy Alta",'Mapa final'!$AC$61="Leve"),CONCATENATE("R9C",'Mapa final'!$Q$61),"")</f>
        <v/>
      </c>
      <c r="O14" s="40" t="str">
        <f>IF(AND('Mapa final'!$AA$62="Muy Alta",'Mapa final'!$AC$62="Leve"),CONCATENATE("R9C",'Mapa final'!$Q$62),"")</f>
        <v/>
      </c>
      <c r="P14" s="38" t="str">
        <f>IF(AND('Mapa final'!$AA$57="Muy Alta",'Mapa final'!$AC$57="Menor"),CONCATENATE("R9C",'Mapa final'!$Q$57),"")</f>
        <v/>
      </c>
      <c r="Q14" s="39" t="str">
        <f>IF(AND('Mapa final'!$AA$58="Muy Alta",'Mapa final'!$AC$58="Menor"),CONCATENATE("R9C",'Mapa final'!$Q$58),"")</f>
        <v/>
      </c>
      <c r="R14" s="44" t="str">
        <f>IF(AND('Mapa final'!$AA$59="Muy Alta",'Mapa final'!$AC$59="Menor"),CONCATENATE("R9C",'Mapa final'!$Q$59),"")</f>
        <v/>
      </c>
      <c r="S14" s="44" t="str">
        <f>IF(AND('Mapa final'!$AA$60="Muy Alta",'Mapa final'!$AC$60="Menor"),CONCATENATE("R9C",'Mapa final'!$Q$60),"")</f>
        <v/>
      </c>
      <c r="T14" s="44" t="str">
        <f>IF(AND('Mapa final'!$AA$61="Muy Alta",'Mapa final'!$AC$61="Menor"),CONCATENATE("R9C",'Mapa final'!$Q$61),"")</f>
        <v/>
      </c>
      <c r="U14" s="40" t="str">
        <f>IF(AND('Mapa final'!$AA$62="Muy Alta",'Mapa final'!$AC$62="Menor"),CONCATENATE("R9C",'Mapa final'!$Q$62),"")</f>
        <v/>
      </c>
      <c r="V14" s="38" t="str">
        <f>IF(AND('Mapa final'!$AA$57="Muy Alta",'Mapa final'!$AC$57="Moderado"),CONCATENATE("R9C",'Mapa final'!$Q$57),"")</f>
        <v/>
      </c>
      <c r="W14" s="39" t="str">
        <f>IF(AND('Mapa final'!$AA$58="Muy Alta",'Mapa final'!$AC$58="Moderado"),CONCATENATE("R9C",'Mapa final'!$Q$58),"")</f>
        <v/>
      </c>
      <c r="X14" s="44" t="str">
        <f>IF(AND('Mapa final'!$AA$59="Muy Alta",'Mapa final'!$AC$59="Moderado"),CONCATENATE("R9C",'Mapa final'!$Q$59),"")</f>
        <v/>
      </c>
      <c r="Y14" s="44" t="str">
        <f>IF(AND('Mapa final'!$AA$60="Muy Alta",'Mapa final'!$AC$60="Moderado"),CONCATENATE("R9C",'Mapa final'!$Q$60),"")</f>
        <v/>
      </c>
      <c r="Z14" s="44" t="str">
        <f>IF(AND('Mapa final'!$AA$61="Muy Alta",'Mapa final'!$AC$61="Moderado"),CONCATENATE("R9C",'Mapa final'!$Q$61),"")</f>
        <v/>
      </c>
      <c r="AA14" s="40" t="str">
        <f>IF(AND('Mapa final'!$AA$62="Muy Alta",'Mapa final'!$AC$62="Moderado"),CONCATENATE("R9C",'Mapa final'!$Q$62),"")</f>
        <v/>
      </c>
      <c r="AB14" s="38" t="str">
        <f>IF(AND('Mapa final'!$AA$57="Muy Alta",'Mapa final'!$AC$57="Mayor"),CONCATENATE("R9C",'Mapa final'!$Q$57),"")</f>
        <v/>
      </c>
      <c r="AC14" s="39" t="str">
        <f>IF(AND('Mapa final'!$AA$58="Muy Alta",'Mapa final'!$AC$58="Mayor"),CONCATENATE("R9C",'Mapa final'!$Q$58),"")</f>
        <v/>
      </c>
      <c r="AD14" s="44" t="str">
        <f>IF(AND('Mapa final'!$AA$59="Muy Alta",'Mapa final'!$AC$59="Mayor"),CONCATENATE("R9C",'Mapa final'!$Q$59),"")</f>
        <v/>
      </c>
      <c r="AE14" s="44" t="str">
        <f>IF(AND('Mapa final'!$AA$60="Muy Alta",'Mapa final'!$AC$60="Mayor"),CONCATENATE("R9C",'Mapa final'!$Q$60),"")</f>
        <v/>
      </c>
      <c r="AF14" s="44" t="str">
        <f>IF(AND('Mapa final'!$AA$61="Muy Alta",'Mapa final'!$AC$61="Mayor"),CONCATENATE("R9C",'Mapa final'!$Q$61),"")</f>
        <v/>
      </c>
      <c r="AG14" s="40" t="str">
        <f>IF(AND('Mapa final'!$AA$62="Muy Alta",'Mapa final'!$AC$62="Mayor"),CONCATENATE("R9C",'Mapa final'!$Q$62),"")</f>
        <v/>
      </c>
      <c r="AH14" s="41" t="str">
        <f>IF(AND('Mapa final'!$AA$57="Muy Alta",'Mapa final'!$AC$57="Catastrófico"),CONCATENATE("R9C",'Mapa final'!$Q$57),"")</f>
        <v/>
      </c>
      <c r="AI14" s="42" t="str">
        <f>IF(AND('Mapa final'!$AA$58="Muy Alta",'Mapa final'!$AC$58="Catastrófico"),CONCATENATE("R9C",'Mapa final'!$Q$58),"")</f>
        <v/>
      </c>
      <c r="AJ14" s="42" t="str">
        <f>IF(AND('Mapa final'!$AA$59="Muy Alta",'Mapa final'!$AC$59="Catastrófico"),CONCATENATE("R9C",'Mapa final'!$Q$59),"")</f>
        <v/>
      </c>
      <c r="AK14" s="42" t="str">
        <f>IF(AND('Mapa final'!$AA$60="Muy Alta",'Mapa final'!$AC$60="Catastrófico"),CONCATENATE("R9C",'Mapa final'!$Q$60),"")</f>
        <v/>
      </c>
      <c r="AL14" s="42" t="str">
        <f>IF(AND('Mapa final'!$AA$61="Muy Alta",'Mapa final'!$AC$61="Catastrófico"),CONCATENATE("R9C",'Mapa final'!$Q$61),"")</f>
        <v/>
      </c>
      <c r="AM14" s="43" t="str">
        <f>IF(AND('Mapa final'!$AA$62="Muy Alta",'Mapa final'!$AC$62="Catastrófico"),CONCATENATE("R9C",'Mapa final'!$Q$62),"")</f>
        <v/>
      </c>
      <c r="AN14" s="70"/>
      <c r="AO14" s="351"/>
      <c r="AP14" s="352"/>
      <c r="AQ14" s="352"/>
      <c r="AR14" s="352"/>
      <c r="AS14" s="352"/>
      <c r="AT14" s="35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89"/>
      <c r="C15" s="289"/>
      <c r="D15" s="290"/>
      <c r="E15" s="333"/>
      <c r="F15" s="334"/>
      <c r="G15" s="334"/>
      <c r="H15" s="334"/>
      <c r="I15" s="335"/>
      <c r="J15" s="45" t="str">
        <f>IF(AND('Mapa final'!$AA$63="Muy Alta",'Mapa final'!$AC$63="Leve"),CONCATENATE("R10C",'Mapa final'!$Q$63),"")</f>
        <v/>
      </c>
      <c r="K15" s="46" t="str">
        <f>IF(AND('Mapa final'!$AA$64="Muy Alta",'Mapa final'!$AC$64="Leve"),CONCATENATE("R10C",'Mapa final'!$Q$64),"")</f>
        <v/>
      </c>
      <c r="L15" s="46" t="str">
        <f>IF(AND('Mapa final'!$AA$65="Muy Alta",'Mapa final'!$AC$65="Leve"),CONCATENATE("R10C",'Mapa final'!$Q$65),"")</f>
        <v/>
      </c>
      <c r="M15" s="46" t="str">
        <f>IF(AND('Mapa final'!$AA$66="Muy Alta",'Mapa final'!$AC$66="Leve"),CONCATENATE("R10C",'Mapa final'!$Q$66),"")</f>
        <v/>
      </c>
      <c r="N15" s="46" t="str">
        <f>IF(AND('Mapa final'!$AA$67="Muy Alta",'Mapa final'!$AC$67="Leve"),CONCATENATE("R10C",'Mapa final'!$Q$67),"")</f>
        <v/>
      </c>
      <c r="O15" s="47" t="str">
        <f>IF(AND('Mapa final'!$AA$68="Muy Alta",'Mapa final'!$AC$68="Leve"),CONCATENATE("R10C",'Mapa final'!$Q$68),"")</f>
        <v/>
      </c>
      <c r="P15" s="38" t="str">
        <f>IF(AND('Mapa final'!$AA$63="Muy Alta",'Mapa final'!$AC$63="Menor"),CONCATENATE("R10C",'Mapa final'!$Q$63),"")</f>
        <v/>
      </c>
      <c r="Q15" s="39" t="str">
        <f>IF(AND('Mapa final'!$AA$64="Muy Alta",'Mapa final'!$AC$64="Menor"),CONCATENATE("R10C",'Mapa final'!$Q$64),"")</f>
        <v/>
      </c>
      <c r="R15" s="39" t="str">
        <f>IF(AND('Mapa final'!$AA$65="Muy Alta",'Mapa final'!$AC$65="Menor"),CONCATENATE("R10C",'Mapa final'!$Q$65),"")</f>
        <v/>
      </c>
      <c r="S15" s="39" t="str">
        <f>IF(AND('Mapa final'!$AA$66="Muy Alta",'Mapa final'!$AC$66="Menor"),CONCATENATE("R10C",'Mapa final'!$Q$66),"")</f>
        <v/>
      </c>
      <c r="T15" s="39" t="str">
        <f>IF(AND('Mapa final'!$AA$67="Muy Alta",'Mapa final'!$AC$67="Menor"),CONCATENATE("R10C",'Mapa final'!$Q$67),"")</f>
        <v/>
      </c>
      <c r="U15" s="40" t="str">
        <f>IF(AND('Mapa final'!$AA$68="Muy Alta",'Mapa final'!$AC$68="Menor"),CONCATENATE("R10C",'Mapa final'!$Q$68),"")</f>
        <v/>
      </c>
      <c r="V15" s="45" t="str">
        <f>IF(AND('Mapa final'!$AA$63="Muy Alta",'Mapa final'!$AC$63="Moderado"),CONCATENATE("R10C",'Mapa final'!$Q$63),"")</f>
        <v/>
      </c>
      <c r="W15" s="46" t="str">
        <f>IF(AND('Mapa final'!$AA$64="Muy Alta",'Mapa final'!$AC$64="Moderado"),CONCATENATE("R10C",'Mapa final'!$Q$64),"")</f>
        <v/>
      </c>
      <c r="X15" s="46" t="str">
        <f>IF(AND('Mapa final'!$AA$65="Muy Alta",'Mapa final'!$AC$65="Moderado"),CONCATENATE("R10C",'Mapa final'!$Q$65),"")</f>
        <v/>
      </c>
      <c r="Y15" s="46" t="str">
        <f>IF(AND('Mapa final'!$AA$66="Muy Alta",'Mapa final'!$AC$66="Moderado"),CONCATENATE("R10C",'Mapa final'!$Q$66),"")</f>
        <v/>
      </c>
      <c r="Z15" s="46" t="str">
        <f>IF(AND('Mapa final'!$AA$67="Muy Alta",'Mapa final'!$AC$67="Moderado"),CONCATENATE("R10C",'Mapa final'!$Q$67),"")</f>
        <v/>
      </c>
      <c r="AA15" s="47" t="str">
        <f>IF(AND('Mapa final'!$AA$68="Muy Alta",'Mapa final'!$AC$68="Moderado"),CONCATENATE("R10C",'Mapa final'!$Q$68),"")</f>
        <v/>
      </c>
      <c r="AB15" s="38" t="str">
        <f>IF(AND('Mapa final'!$AA$63="Muy Alta",'Mapa final'!$AC$63="Mayor"),CONCATENATE("R10C",'Mapa final'!$Q$63),"")</f>
        <v/>
      </c>
      <c r="AC15" s="39" t="str">
        <f>IF(AND('Mapa final'!$AA$64="Muy Alta",'Mapa final'!$AC$64="Mayor"),CONCATENATE("R10C",'Mapa final'!$Q$64),"")</f>
        <v/>
      </c>
      <c r="AD15" s="39" t="str">
        <f>IF(AND('Mapa final'!$AA$65="Muy Alta",'Mapa final'!$AC$65="Mayor"),CONCATENATE("R10C",'Mapa final'!$Q$65),"")</f>
        <v/>
      </c>
      <c r="AE15" s="39" t="str">
        <f>IF(AND('Mapa final'!$AA$66="Muy Alta",'Mapa final'!$AC$66="Mayor"),CONCATENATE("R10C",'Mapa final'!$Q$66),"")</f>
        <v/>
      </c>
      <c r="AF15" s="39" t="str">
        <f>IF(AND('Mapa final'!$AA$67="Muy Alta",'Mapa final'!$AC$67="Mayor"),CONCATENATE("R10C",'Mapa final'!$Q$67),"")</f>
        <v/>
      </c>
      <c r="AG15" s="40" t="str">
        <f>IF(AND('Mapa final'!$AA$68="Muy Alta",'Mapa final'!$AC$68="Mayor"),CONCATENATE("R10C",'Mapa final'!$Q$68),"")</f>
        <v/>
      </c>
      <c r="AH15" s="48" t="str">
        <f>IF(AND('Mapa final'!$AA$63="Muy Alta",'Mapa final'!$AC$63="Catastrófico"),CONCATENATE("R10C",'Mapa final'!$Q$63),"")</f>
        <v/>
      </c>
      <c r="AI15" s="49" t="str">
        <f>IF(AND('Mapa final'!$AA$64="Muy Alta",'Mapa final'!$AC$64="Catastrófico"),CONCATENATE("R10C",'Mapa final'!$Q$64),"")</f>
        <v/>
      </c>
      <c r="AJ15" s="49" t="str">
        <f>IF(AND('Mapa final'!$AA$65="Muy Alta",'Mapa final'!$AC$65="Catastrófico"),CONCATENATE("R10C",'Mapa final'!$Q$65),"")</f>
        <v/>
      </c>
      <c r="AK15" s="49" t="str">
        <f>IF(AND('Mapa final'!$AA$66="Muy Alta",'Mapa final'!$AC$66="Catastrófico"),CONCATENATE("R10C",'Mapa final'!$Q$66),"")</f>
        <v/>
      </c>
      <c r="AL15" s="49" t="str">
        <f>IF(AND('Mapa final'!$AA$67="Muy Alta",'Mapa final'!$AC$67="Catastrófico"),CONCATENATE("R10C",'Mapa final'!$Q$67),"")</f>
        <v/>
      </c>
      <c r="AM15" s="50" t="str">
        <f>IF(AND('Mapa final'!$AA$68="Muy Alta",'Mapa final'!$AC$68="Catastrófico"),CONCATENATE("R10C",'Mapa final'!$Q$68),"")</f>
        <v/>
      </c>
      <c r="AN15" s="70"/>
      <c r="AO15" s="354"/>
      <c r="AP15" s="355"/>
      <c r="AQ15" s="355"/>
      <c r="AR15" s="355"/>
      <c r="AS15" s="355"/>
      <c r="AT15" s="35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89"/>
      <c r="C16" s="289"/>
      <c r="D16" s="290"/>
      <c r="E16" s="327" t="s">
        <v>111</v>
      </c>
      <c r="F16" s="328"/>
      <c r="G16" s="328"/>
      <c r="H16" s="328"/>
      <c r="I16" s="328"/>
      <c r="J16" s="51" t="str">
        <f>IF(AND('Mapa final'!$AA$9="Alta",'Mapa final'!$AC$9="Leve"),CONCATENATE("R1C",'Mapa final'!$Q$9),"")</f>
        <v/>
      </c>
      <c r="K16" s="52" t="str">
        <f>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IF(AND('Mapa final'!$AA$9="Alta",'Mapa final'!$AC$9="Menor"),CONCATENATE("R1C",'Mapa final'!$Q$9),"")</f>
        <v/>
      </c>
      <c r="Q16" s="52" t="str">
        <f>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IF(AND('Mapa final'!$AA$9="Alta",'Mapa final'!$AC$9="Moderado"),CONCATENATE("R1C",'Mapa final'!$Q$9),"")</f>
        <v/>
      </c>
      <c r="W16" s="33" t="str">
        <f>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IF(AND('Mapa final'!$AA$9="Alta",'Mapa final'!$AC$9="Mayor"),CONCATENATE("R1C",'Mapa final'!$Q$9),"")</f>
        <v/>
      </c>
      <c r="AC16" s="33" t="str">
        <f>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IF(AND('Mapa final'!$AA$9="Alta",'Mapa final'!$AC$9="Catastrófico"),CONCATENATE("R1C",'Mapa final'!$Q$9),"")</f>
        <v/>
      </c>
      <c r="AI16" s="36" t="str">
        <f>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37" t="s">
        <v>76</v>
      </c>
      <c r="AP16" s="338"/>
      <c r="AQ16" s="338"/>
      <c r="AR16" s="338"/>
      <c r="AS16" s="338"/>
      <c r="AT16" s="339"/>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89"/>
      <c r="C17" s="289"/>
      <c r="D17" s="290"/>
      <c r="E17" s="346"/>
      <c r="F17" s="347"/>
      <c r="G17" s="347"/>
      <c r="H17" s="347"/>
      <c r="I17" s="347"/>
      <c r="J17" s="54" t="str">
        <f>IF(AND('Mapa final'!$AA$15="Alta",'Mapa final'!$AC$15="Leve"),CONCATENATE("R2C",'Mapa final'!$Q$15),"")</f>
        <v/>
      </c>
      <c r="K17" s="55" t="str">
        <f>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IF(AND('Mapa final'!$AA$15="Alta",'Mapa final'!$AC$15="Menor"),CONCATENATE("R2C",'Mapa final'!$Q$15),"")</f>
        <v/>
      </c>
      <c r="Q17" s="55" t="str">
        <f>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IF(AND('Mapa final'!$AA$15="Alta",'Mapa final'!$AC$15="Moderado"),CONCATENATE("R2C",'Mapa final'!$Q$15),"")</f>
        <v/>
      </c>
      <c r="W17" s="39" t="str">
        <f>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IF(AND('Mapa final'!$AA$15="Alta",'Mapa final'!$AC$15="Mayor"),CONCATENATE("R2C",'Mapa final'!$Q$15),"")</f>
        <v/>
      </c>
      <c r="AC17" s="39" t="str">
        <f>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IF(AND('Mapa final'!$AA$15="Alta",'Mapa final'!$AC$15="Catastrófico"),CONCATENATE("R2C",'Mapa final'!$Q$15),"")</f>
        <v/>
      </c>
      <c r="AI17" s="42" t="str">
        <f>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40"/>
      <c r="AP17" s="341"/>
      <c r="AQ17" s="341"/>
      <c r="AR17" s="341"/>
      <c r="AS17" s="341"/>
      <c r="AT17" s="342"/>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89"/>
      <c r="C18" s="289"/>
      <c r="D18" s="290"/>
      <c r="E18" s="330"/>
      <c r="F18" s="331"/>
      <c r="G18" s="331"/>
      <c r="H18" s="331"/>
      <c r="I18" s="347"/>
      <c r="J18" s="54" t="str">
        <f>IF(AND('Mapa final'!$AA$21="Alta",'Mapa final'!$AC$21="Leve"),CONCATENATE("R3C",'Mapa final'!$Q$21),"")</f>
        <v/>
      </c>
      <c r="K18" s="55" t="str">
        <f>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IF(AND('Mapa final'!$AA$21="Alta",'Mapa final'!$AC$21="Menor"),CONCATENATE("R3C",'Mapa final'!$Q$21),"")</f>
        <v/>
      </c>
      <c r="Q18" s="55" t="str">
        <f>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IF(AND('Mapa final'!$AA$21="Alta",'Mapa final'!$AC$21="Moderado"),CONCATENATE("R3C",'Mapa final'!$Q$21),"")</f>
        <v/>
      </c>
      <c r="W18" s="39" t="str">
        <f>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IF(AND('Mapa final'!$AA$21="Alta",'Mapa final'!$AC$21="Mayor"),CONCATENATE("R3C",'Mapa final'!$Q$21),"")</f>
        <v/>
      </c>
      <c r="AC18" s="39" t="str">
        <f>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IF(AND('Mapa final'!$AA$21="Alta",'Mapa final'!$AC$21="Catastrófico"),CONCATENATE("R3C",'Mapa final'!$Q$21),"")</f>
        <v/>
      </c>
      <c r="AI18" s="42" t="str">
        <f>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40"/>
      <c r="AP18" s="341"/>
      <c r="AQ18" s="341"/>
      <c r="AR18" s="341"/>
      <c r="AS18" s="341"/>
      <c r="AT18" s="342"/>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89"/>
      <c r="C19" s="289"/>
      <c r="D19" s="290"/>
      <c r="E19" s="330"/>
      <c r="F19" s="331"/>
      <c r="G19" s="331"/>
      <c r="H19" s="331"/>
      <c r="I19" s="347"/>
      <c r="J19" s="54" t="str">
        <f>IF(AND('Mapa final'!$AA$27="Alta",'Mapa final'!$AC$27="Leve"),CONCATENATE("R4C",'Mapa final'!$Q$27),"")</f>
        <v/>
      </c>
      <c r="K19" s="55" t="str">
        <f>IF(AND('Mapa final'!$AA$28="Alta",'Mapa final'!$AC$28="Leve"),CONCATENATE("R4C",'Mapa final'!$Q$28),"")</f>
        <v/>
      </c>
      <c r="L19" s="55" t="str">
        <f>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IF(AND('Mapa final'!$AA$27="Alta",'Mapa final'!$AC$27="Menor"),CONCATENATE("R4C",'Mapa final'!$Q$27),"")</f>
        <v/>
      </c>
      <c r="Q19" s="55" t="str">
        <f>IF(AND('Mapa final'!$AA$28="Alta",'Mapa final'!$AC$28="Menor"),CONCATENATE("R4C",'Mapa final'!$Q$28),"")</f>
        <v/>
      </c>
      <c r="R19" s="55" t="str">
        <f>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IF(AND('Mapa final'!$AA$27="Alta",'Mapa final'!$AC$27="Moderado"),CONCATENATE("R4C",'Mapa final'!$Q$27),"")</f>
        <v/>
      </c>
      <c r="W19" s="39" t="str">
        <f>IF(AND('Mapa final'!$AA$28="Alta",'Mapa final'!$AC$28="Moderado"),CONCATENATE("R4C",'Mapa final'!$Q$28),"")</f>
        <v/>
      </c>
      <c r="X19" s="44" t="str">
        <f>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IF(AND('Mapa final'!$AA$27="Alta",'Mapa final'!$AC$27="Mayor"),CONCATENATE("R4C",'Mapa final'!$Q$27),"")</f>
        <v/>
      </c>
      <c r="AC19" s="39" t="str">
        <f>IF(AND('Mapa final'!$AA$28="Alta",'Mapa final'!$AC$28="Mayor"),CONCATENATE("R4C",'Mapa final'!$Q$28),"")</f>
        <v/>
      </c>
      <c r="AD19" s="44" t="str">
        <f>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IF(AND('Mapa final'!$AA$27="Alta",'Mapa final'!$AC$27="Catastrófico"),CONCATENATE("R4C",'Mapa final'!$Q$27),"")</f>
        <v/>
      </c>
      <c r="AI19" s="42" t="str">
        <f>IF(AND('Mapa final'!$AA$28="Alta",'Mapa final'!$AC$28="Catastrófico"),CONCATENATE("R4C",'Mapa final'!$Q$28),"")</f>
        <v/>
      </c>
      <c r="AJ19" s="42" t="str">
        <f>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40"/>
      <c r="AP19" s="341"/>
      <c r="AQ19" s="341"/>
      <c r="AR19" s="341"/>
      <c r="AS19" s="341"/>
      <c r="AT19" s="342"/>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89"/>
      <c r="C20" s="289"/>
      <c r="D20" s="290"/>
      <c r="E20" s="330"/>
      <c r="F20" s="331"/>
      <c r="G20" s="331"/>
      <c r="H20" s="331"/>
      <c r="I20" s="347"/>
      <c r="J20" s="54" t="str">
        <f>IF(AND('Mapa final'!$AA$33="Alta",'Mapa final'!$AC$33="Leve"),CONCATENATE("R5C",'Mapa final'!$Q$33),"")</f>
        <v/>
      </c>
      <c r="K20" s="55" t="str">
        <f>IF(AND('Mapa final'!$AA$34="Alta",'Mapa final'!$AC$34="Leve"),CONCATENATE("R5C",'Mapa final'!$Q$34),"")</f>
        <v/>
      </c>
      <c r="L20" s="55" t="str">
        <f>IF(AND('Mapa final'!$AA$35="Alta",'Mapa final'!$AC$35="Leve"),CONCATENATE("R5C",'Mapa final'!$Q$35),"")</f>
        <v/>
      </c>
      <c r="M20" s="55" t="str">
        <f>IF(AND('Mapa final'!$AA$36="Alta",'Mapa final'!$AC$36="Leve"),CONCATENATE("R5C",'Mapa final'!$Q$36),"")</f>
        <v/>
      </c>
      <c r="N20" s="55" t="str">
        <f>IF(AND('Mapa final'!$AA$37="Alta",'Mapa final'!$AC$37="Leve"),CONCATENATE("R5C",'Mapa final'!$Q$37),"")</f>
        <v/>
      </c>
      <c r="O20" s="56" t="str">
        <f>IF(AND('Mapa final'!$AA$38="Alta",'Mapa final'!$AC$38="Leve"),CONCATENATE("R5C",'Mapa final'!$Q$38),"")</f>
        <v/>
      </c>
      <c r="P20" s="54" t="str">
        <f>IF(AND('Mapa final'!$AA$33="Alta",'Mapa final'!$AC$33="Menor"),CONCATENATE("R5C",'Mapa final'!$Q$33),"")</f>
        <v/>
      </c>
      <c r="Q20" s="55" t="str">
        <f>IF(AND('Mapa final'!$AA$34="Alta",'Mapa final'!$AC$34="Menor"),CONCATENATE("R5C",'Mapa final'!$Q$34),"")</f>
        <v/>
      </c>
      <c r="R20" s="55" t="str">
        <f>IF(AND('Mapa final'!$AA$35="Alta",'Mapa final'!$AC$35="Menor"),CONCATENATE("R5C",'Mapa final'!$Q$35),"")</f>
        <v/>
      </c>
      <c r="S20" s="55" t="str">
        <f>IF(AND('Mapa final'!$AA$36="Alta",'Mapa final'!$AC$36="Menor"),CONCATENATE("R5C",'Mapa final'!$Q$36),"")</f>
        <v/>
      </c>
      <c r="T20" s="55" t="str">
        <f>IF(AND('Mapa final'!$AA$37="Alta",'Mapa final'!$AC$37="Menor"),CONCATENATE("R5C",'Mapa final'!$Q$37),"")</f>
        <v/>
      </c>
      <c r="U20" s="56" t="str">
        <f>IF(AND('Mapa final'!$AA$38="Alta",'Mapa final'!$AC$38="Menor"),CONCATENATE("R5C",'Mapa final'!$Q$38),"")</f>
        <v/>
      </c>
      <c r="V20" s="38" t="str">
        <f>IF(AND('Mapa final'!$AA$33="Alta",'Mapa final'!$AC$33="Moderado"),CONCATENATE("R5C",'Mapa final'!$Q$33),"")</f>
        <v/>
      </c>
      <c r="W20" s="39" t="str">
        <f>IF(AND('Mapa final'!$AA$34="Alta",'Mapa final'!$AC$34="Moderado"),CONCATENATE("R5C",'Mapa final'!$Q$34),"")</f>
        <v/>
      </c>
      <c r="X20" s="44" t="str">
        <f>IF(AND('Mapa final'!$AA$35="Alta",'Mapa final'!$AC$35="Moderado"),CONCATENATE("R5C",'Mapa final'!$Q$35),"")</f>
        <v/>
      </c>
      <c r="Y20" s="44" t="str">
        <f>IF(AND('Mapa final'!$AA$36="Alta",'Mapa final'!$AC$36="Moderado"),CONCATENATE("R5C",'Mapa final'!$Q$36),"")</f>
        <v/>
      </c>
      <c r="Z20" s="44" t="str">
        <f>IF(AND('Mapa final'!$AA$37="Alta",'Mapa final'!$AC$37="Moderado"),CONCATENATE("R5C",'Mapa final'!$Q$37),"")</f>
        <v/>
      </c>
      <c r="AA20" s="40" t="str">
        <f>IF(AND('Mapa final'!$AA$38="Alta",'Mapa final'!$AC$38="Moderado"),CONCATENATE("R5C",'Mapa final'!$Q$38),"")</f>
        <v/>
      </c>
      <c r="AB20" s="38" t="str">
        <f>IF(AND('Mapa final'!$AA$33="Alta",'Mapa final'!$AC$33="Mayor"),CONCATENATE("R5C",'Mapa final'!$Q$33),"")</f>
        <v/>
      </c>
      <c r="AC20" s="39" t="str">
        <f>IF(AND('Mapa final'!$AA$34="Alta",'Mapa final'!$AC$34="Mayor"),CONCATENATE("R5C",'Mapa final'!$Q$34),"")</f>
        <v/>
      </c>
      <c r="AD20" s="44" t="str">
        <f>IF(AND('Mapa final'!$AA$35="Alta",'Mapa final'!$AC$35="Mayor"),CONCATENATE("R5C",'Mapa final'!$Q$35),"")</f>
        <v/>
      </c>
      <c r="AE20" s="44" t="str">
        <f>IF(AND('Mapa final'!$AA$36="Alta",'Mapa final'!$AC$36="Mayor"),CONCATENATE("R5C",'Mapa final'!$Q$36),"")</f>
        <v/>
      </c>
      <c r="AF20" s="44" t="str">
        <f>IF(AND('Mapa final'!$AA$37="Alta",'Mapa final'!$AC$37="Mayor"),CONCATENATE("R5C",'Mapa final'!$Q$37),"")</f>
        <v/>
      </c>
      <c r="AG20" s="40" t="str">
        <f>IF(AND('Mapa final'!$AA$38="Alta",'Mapa final'!$AC$38="Mayor"),CONCATENATE("R5C",'Mapa final'!$Q$38),"")</f>
        <v/>
      </c>
      <c r="AH20" s="41" t="str">
        <f>IF(AND('Mapa final'!$AA$33="Alta",'Mapa final'!$AC$33="Catastrófico"),CONCATENATE("R5C",'Mapa final'!$Q$33),"")</f>
        <v/>
      </c>
      <c r="AI20" s="42" t="str">
        <f>IF(AND('Mapa final'!$AA$34="Alta",'Mapa final'!$AC$34="Catastrófico"),CONCATENATE("R5C",'Mapa final'!$Q$34),"")</f>
        <v/>
      </c>
      <c r="AJ20" s="42" t="str">
        <f>IF(AND('Mapa final'!$AA$35="Alta",'Mapa final'!$AC$35="Catastrófico"),CONCATENATE("R5C",'Mapa final'!$Q$35),"")</f>
        <v/>
      </c>
      <c r="AK20" s="42" t="str">
        <f>IF(AND('Mapa final'!$AA$36="Alta",'Mapa final'!$AC$36="Catastrófico"),CONCATENATE("R5C",'Mapa final'!$Q$36),"")</f>
        <v/>
      </c>
      <c r="AL20" s="42" t="str">
        <f>IF(AND('Mapa final'!$AA$37="Alta",'Mapa final'!$AC$37="Catastrófico"),CONCATENATE("R5C",'Mapa final'!$Q$37),"")</f>
        <v/>
      </c>
      <c r="AM20" s="43" t="str">
        <f>IF(AND('Mapa final'!$AA$38="Alta",'Mapa final'!$AC$38="Catastrófico"),CONCATENATE("R5C",'Mapa final'!$Q$38),"")</f>
        <v/>
      </c>
      <c r="AN20" s="70"/>
      <c r="AO20" s="340"/>
      <c r="AP20" s="341"/>
      <c r="AQ20" s="341"/>
      <c r="AR20" s="341"/>
      <c r="AS20" s="341"/>
      <c r="AT20" s="342"/>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89"/>
      <c r="C21" s="289"/>
      <c r="D21" s="290"/>
      <c r="E21" s="330"/>
      <c r="F21" s="331"/>
      <c r="G21" s="331"/>
      <c r="H21" s="331"/>
      <c r="I21" s="347"/>
      <c r="J21" s="54" t="str">
        <f>IF(AND('Mapa final'!$AA$39="Alta",'Mapa final'!$AC$39="Leve"),CONCATENATE("R6C",'Mapa final'!$Q$39),"")</f>
        <v/>
      </c>
      <c r="K21" s="55" t="str">
        <f>IF(AND('Mapa final'!$AA$40="Alta",'Mapa final'!$AC$40="Leve"),CONCATENATE("R6C",'Mapa final'!$Q$40),"")</f>
        <v/>
      </c>
      <c r="L21" s="55" t="str">
        <f>IF(AND('Mapa final'!$AA$41="Alta",'Mapa final'!$AC$41="Leve"),CONCATENATE("R6C",'Mapa final'!$Q$41),"")</f>
        <v/>
      </c>
      <c r="M21" s="55" t="str">
        <f>IF(AND('Mapa final'!$AA$42="Alta",'Mapa final'!$AC$42="Leve"),CONCATENATE("R6C",'Mapa final'!$Q$42),"")</f>
        <v/>
      </c>
      <c r="N21" s="55" t="str">
        <f>IF(AND('Mapa final'!$AA$43="Alta",'Mapa final'!$AC$43="Leve"),CONCATENATE("R6C",'Mapa final'!$Q$43),"")</f>
        <v/>
      </c>
      <c r="O21" s="56" t="str">
        <f>IF(AND('Mapa final'!$AA$44="Alta",'Mapa final'!$AC$44="Leve"),CONCATENATE("R6C",'Mapa final'!$Q$44),"")</f>
        <v/>
      </c>
      <c r="P21" s="54" t="str">
        <f>IF(AND('Mapa final'!$AA$39="Alta",'Mapa final'!$AC$39="Menor"),CONCATENATE("R6C",'Mapa final'!$Q$39),"")</f>
        <v/>
      </c>
      <c r="Q21" s="55" t="str">
        <f>IF(AND('Mapa final'!$AA$40="Alta",'Mapa final'!$AC$40="Menor"),CONCATENATE("R6C",'Mapa final'!$Q$40),"")</f>
        <v/>
      </c>
      <c r="R21" s="55" t="str">
        <f>IF(AND('Mapa final'!$AA$41="Alta",'Mapa final'!$AC$41="Menor"),CONCATENATE("R6C",'Mapa final'!$Q$41),"")</f>
        <v/>
      </c>
      <c r="S21" s="55" t="str">
        <f>IF(AND('Mapa final'!$AA$42="Alta",'Mapa final'!$AC$42="Menor"),CONCATENATE("R6C",'Mapa final'!$Q$42),"")</f>
        <v/>
      </c>
      <c r="T21" s="55" t="str">
        <f>IF(AND('Mapa final'!$AA$43="Alta",'Mapa final'!$AC$43="Menor"),CONCATENATE("R6C",'Mapa final'!$Q$43),"")</f>
        <v/>
      </c>
      <c r="U21" s="56" t="str">
        <f>IF(AND('Mapa final'!$AA$44="Alta",'Mapa final'!$AC$44="Menor"),CONCATENATE("R6C",'Mapa final'!$Q$44),"")</f>
        <v/>
      </c>
      <c r="V21" s="38" t="str">
        <f>IF(AND('Mapa final'!$AA$39="Alta",'Mapa final'!$AC$39="Moderado"),CONCATENATE("R6C",'Mapa final'!$Q$39),"")</f>
        <v/>
      </c>
      <c r="W21" s="39" t="str">
        <f>IF(AND('Mapa final'!$AA$40="Alta",'Mapa final'!$AC$40="Moderado"),CONCATENATE("R6C",'Mapa final'!$Q$40),"")</f>
        <v/>
      </c>
      <c r="X21" s="44" t="str">
        <f>IF(AND('Mapa final'!$AA$41="Alta",'Mapa final'!$AC$41="Moderado"),CONCATENATE("R6C",'Mapa final'!$Q$41),"")</f>
        <v/>
      </c>
      <c r="Y21" s="44" t="str">
        <f>IF(AND('Mapa final'!$AA$42="Alta",'Mapa final'!$AC$42="Moderado"),CONCATENATE("R6C",'Mapa final'!$Q$42),"")</f>
        <v/>
      </c>
      <c r="Z21" s="44" t="str">
        <f>IF(AND('Mapa final'!$AA$43="Alta",'Mapa final'!$AC$43="Moderado"),CONCATENATE("R6C",'Mapa final'!$Q$43),"")</f>
        <v/>
      </c>
      <c r="AA21" s="40" t="str">
        <f>IF(AND('Mapa final'!$AA$44="Alta",'Mapa final'!$AC$44="Moderado"),CONCATENATE("R6C",'Mapa final'!$Q$44),"")</f>
        <v/>
      </c>
      <c r="AB21" s="38" t="str">
        <f>IF(AND('Mapa final'!$AA$39="Alta",'Mapa final'!$AC$39="Mayor"),CONCATENATE("R6C",'Mapa final'!$Q$39),"")</f>
        <v/>
      </c>
      <c r="AC21" s="39" t="str">
        <f>IF(AND('Mapa final'!$AA$40="Alta",'Mapa final'!$AC$40="Mayor"),CONCATENATE("R6C",'Mapa final'!$Q$40),"")</f>
        <v/>
      </c>
      <c r="AD21" s="44" t="str">
        <f>IF(AND('Mapa final'!$AA$41="Alta",'Mapa final'!$AC$41="Mayor"),CONCATENATE("R6C",'Mapa final'!$Q$41),"")</f>
        <v/>
      </c>
      <c r="AE21" s="44" t="str">
        <f>IF(AND('Mapa final'!$AA$42="Alta",'Mapa final'!$AC$42="Mayor"),CONCATENATE("R6C",'Mapa final'!$Q$42),"")</f>
        <v/>
      </c>
      <c r="AF21" s="44" t="str">
        <f>IF(AND('Mapa final'!$AA$43="Alta",'Mapa final'!$AC$43="Mayor"),CONCATENATE("R6C",'Mapa final'!$Q$43),"")</f>
        <v/>
      </c>
      <c r="AG21" s="40" t="str">
        <f>IF(AND('Mapa final'!$AA$44="Alta",'Mapa final'!$AC$44="Mayor"),CONCATENATE("R6C",'Mapa final'!$Q$44),"")</f>
        <v/>
      </c>
      <c r="AH21" s="41" t="str">
        <f>IF(AND('Mapa final'!$AA$39="Alta",'Mapa final'!$AC$39="Catastrófico"),CONCATENATE("R6C",'Mapa final'!$Q$39),"")</f>
        <v/>
      </c>
      <c r="AI21" s="42" t="str">
        <f>IF(AND('Mapa final'!$AA$40="Alta",'Mapa final'!$AC$40="Catastrófico"),CONCATENATE("R6C",'Mapa final'!$Q$40),"")</f>
        <v/>
      </c>
      <c r="AJ21" s="42" t="str">
        <f>IF(AND('Mapa final'!$AA$41="Alta",'Mapa final'!$AC$41="Catastrófico"),CONCATENATE("R6C",'Mapa final'!$Q$41),"")</f>
        <v/>
      </c>
      <c r="AK21" s="42" t="str">
        <f>IF(AND('Mapa final'!$AA$42="Alta",'Mapa final'!$AC$42="Catastrófico"),CONCATENATE("R6C",'Mapa final'!$Q$42),"")</f>
        <v/>
      </c>
      <c r="AL21" s="42" t="str">
        <f>IF(AND('Mapa final'!$AA$43="Alta",'Mapa final'!$AC$43="Catastrófico"),CONCATENATE("R6C",'Mapa final'!$Q$43),"")</f>
        <v/>
      </c>
      <c r="AM21" s="43" t="str">
        <f>IF(AND('Mapa final'!$AA$44="Alta",'Mapa final'!$AC$44="Catastrófico"),CONCATENATE("R6C",'Mapa final'!$Q$44),"")</f>
        <v/>
      </c>
      <c r="AN21" s="70"/>
      <c r="AO21" s="340"/>
      <c r="AP21" s="341"/>
      <c r="AQ21" s="341"/>
      <c r="AR21" s="341"/>
      <c r="AS21" s="341"/>
      <c r="AT21" s="342"/>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89"/>
      <c r="C22" s="289"/>
      <c r="D22" s="290"/>
      <c r="E22" s="330"/>
      <c r="F22" s="331"/>
      <c r="G22" s="331"/>
      <c r="H22" s="331"/>
      <c r="I22" s="347"/>
      <c r="J22" s="54" t="str">
        <f>IF(AND('Mapa final'!$AA$45="Alta",'Mapa final'!$AC$45="Leve"),CONCATENATE("R7C",'Mapa final'!$Q$45),"")</f>
        <v/>
      </c>
      <c r="K22" s="55" t="str">
        <f>IF(AND('Mapa final'!$AA$46="Alta",'Mapa final'!$AC$46="Leve"),CONCATENATE("R7C",'Mapa final'!$Q$46),"")</f>
        <v/>
      </c>
      <c r="L22" s="55" t="str">
        <f>IF(AND('Mapa final'!$AA$47="Alta",'Mapa final'!$AC$47="Leve"),CONCATENATE("R7C",'Mapa final'!$Q$47),"")</f>
        <v/>
      </c>
      <c r="M22" s="55" t="str">
        <f>IF(AND('Mapa final'!$AA$48="Alta",'Mapa final'!$AC$48="Leve"),CONCATENATE("R7C",'Mapa final'!$Q$48),"")</f>
        <v/>
      </c>
      <c r="N22" s="55" t="str">
        <f>IF(AND('Mapa final'!$AA$49="Alta",'Mapa final'!$AC$49="Leve"),CONCATENATE("R7C",'Mapa final'!$Q$49),"")</f>
        <v/>
      </c>
      <c r="O22" s="56" t="str">
        <f>IF(AND('Mapa final'!$AA$50="Alta",'Mapa final'!$AC$50="Leve"),CONCATENATE("R7C",'Mapa final'!$Q$50),"")</f>
        <v/>
      </c>
      <c r="P22" s="54" t="str">
        <f>IF(AND('Mapa final'!$AA$45="Alta",'Mapa final'!$AC$45="Menor"),CONCATENATE("R7C",'Mapa final'!$Q$45),"")</f>
        <v/>
      </c>
      <c r="Q22" s="55" t="str">
        <f>IF(AND('Mapa final'!$AA$46="Alta",'Mapa final'!$AC$46="Menor"),CONCATENATE("R7C",'Mapa final'!$Q$46),"")</f>
        <v/>
      </c>
      <c r="R22" s="55" t="str">
        <f>IF(AND('Mapa final'!$AA$47="Alta",'Mapa final'!$AC$47="Menor"),CONCATENATE("R7C",'Mapa final'!$Q$47),"")</f>
        <v/>
      </c>
      <c r="S22" s="55" t="str">
        <f>IF(AND('Mapa final'!$AA$48="Alta",'Mapa final'!$AC$48="Menor"),CONCATENATE("R7C",'Mapa final'!$Q$48),"")</f>
        <v/>
      </c>
      <c r="T22" s="55" t="str">
        <f>IF(AND('Mapa final'!$AA$49="Alta",'Mapa final'!$AC$49="Menor"),CONCATENATE("R7C",'Mapa final'!$Q$49),"")</f>
        <v/>
      </c>
      <c r="U22" s="56" t="str">
        <f>IF(AND('Mapa final'!$AA$50="Alta",'Mapa final'!$AC$50="Menor"),CONCATENATE("R7C",'Mapa final'!$Q$50),"")</f>
        <v/>
      </c>
      <c r="V22" s="38" t="str">
        <f>IF(AND('Mapa final'!$AA$45="Alta",'Mapa final'!$AC$45="Moderado"),CONCATENATE("R7C",'Mapa final'!$Q$45),"")</f>
        <v/>
      </c>
      <c r="W22" s="39" t="str">
        <f>IF(AND('Mapa final'!$AA$46="Alta",'Mapa final'!$AC$46="Moderado"),CONCATENATE("R7C",'Mapa final'!$Q$46),"")</f>
        <v/>
      </c>
      <c r="X22" s="44" t="str">
        <f>IF(AND('Mapa final'!$AA$47="Alta",'Mapa final'!$AC$47="Moderado"),CONCATENATE("R7C",'Mapa final'!$Q$47),"")</f>
        <v/>
      </c>
      <c r="Y22" s="44" t="str">
        <f>IF(AND('Mapa final'!$AA$48="Alta",'Mapa final'!$AC$48="Moderado"),CONCATENATE("R7C",'Mapa final'!$Q$48),"")</f>
        <v/>
      </c>
      <c r="Z22" s="44" t="str">
        <f>IF(AND('Mapa final'!$AA$49="Alta",'Mapa final'!$AC$49="Moderado"),CONCATENATE("R7C",'Mapa final'!$Q$49),"")</f>
        <v/>
      </c>
      <c r="AA22" s="40" t="str">
        <f>IF(AND('Mapa final'!$AA$50="Alta",'Mapa final'!$AC$50="Moderado"),CONCATENATE("R7C",'Mapa final'!$Q$50),"")</f>
        <v/>
      </c>
      <c r="AB22" s="38" t="str">
        <f>IF(AND('Mapa final'!$AA$45="Alta",'Mapa final'!$AC$45="Mayor"),CONCATENATE("R7C",'Mapa final'!$Q$45),"")</f>
        <v/>
      </c>
      <c r="AC22" s="39" t="str">
        <f>IF(AND('Mapa final'!$AA$46="Alta",'Mapa final'!$AC$46="Mayor"),CONCATENATE("R7C",'Mapa final'!$Q$46),"")</f>
        <v/>
      </c>
      <c r="AD22" s="44" t="str">
        <f>IF(AND('Mapa final'!$AA$47="Alta",'Mapa final'!$AC$47="Mayor"),CONCATENATE("R7C",'Mapa final'!$Q$47),"")</f>
        <v/>
      </c>
      <c r="AE22" s="44" t="str">
        <f>IF(AND('Mapa final'!$AA$48="Alta",'Mapa final'!$AC$48="Mayor"),CONCATENATE("R7C",'Mapa final'!$Q$48),"")</f>
        <v/>
      </c>
      <c r="AF22" s="44" t="str">
        <f>IF(AND('Mapa final'!$AA$49="Alta",'Mapa final'!$AC$49="Mayor"),CONCATENATE("R7C",'Mapa final'!$Q$49),"")</f>
        <v/>
      </c>
      <c r="AG22" s="40" t="str">
        <f>IF(AND('Mapa final'!$AA$50="Alta",'Mapa final'!$AC$50="Mayor"),CONCATENATE("R7C",'Mapa final'!$Q$50),"")</f>
        <v/>
      </c>
      <c r="AH22" s="41" t="str">
        <f>IF(AND('Mapa final'!$AA$45="Alta",'Mapa final'!$AC$45="Catastrófico"),CONCATENATE("R7C",'Mapa final'!$Q$45),"")</f>
        <v/>
      </c>
      <c r="AI22" s="42" t="str">
        <f>IF(AND('Mapa final'!$AA$46="Alta",'Mapa final'!$AC$46="Catastrófico"),CONCATENATE("R7C",'Mapa final'!$Q$46),"")</f>
        <v/>
      </c>
      <c r="AJ22" s="42" t="str">
        <f>IF(AND('Mapa final'!$AA$47="Alta",'Mapa final'!$AC$47="Catastrófico"),CONCATENATE("R7C",'Mapa final'!$Q$47),"")</f>
        <v/>
      </c>
      <c r="AK22" s="42" t="str">
        <f>IF(AND('Mapa final'!$AA$48="Alta",'Mapa final'!$AC$48="Catastrófico"),CONCATENATE("R7C",'Mapa final'!$Q$48),"")</f>
        <v/>
      </c>
      <c r="AL22" s="42" t="str">
        <f>IF(AND('Mapa final'!$AA$49="Alta",'Mapa final'!$AC$49="Catastrófico"),CONCATENATE("R7C",'Mapa final'!$Q$49),"")</f>
        <v/>
      </c>
      <c r="AM22" s="43" t="str">
        <f>IF(AND('Mapa final'!$AA$50="Alta",'Mapa final'!$AC$50="Catastrófico"),CONCATENATE("R7C",'Mapa final'!$Q$50),"")</f>
        <v/>
      </c>
      <c r="AN22" s="70"/>
      <c r="AO22" s="340"/>
      <c r="AP22" s="341"/>
      <c r="AQ22" s="341"/>
      <c r="AR22" s="341"/>
      <c r="AS22" s="341"/>
      <c r="AT22" s="34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89"/>
      <c r="C23" s="289"/>
      <c r="D23" s="290"/>
      <c r="E23" s="330"/>
      <c r="F23" s="331"/>
      <c r="G23" s="331"/>
      <c r="H23" s="331"/>
      <c r="I23" s="347"/>
      <c r="J23" s="54" t="str">
        <f>IF(AND('Mapa final'!$AA$51="Alta",'Mapa final'!$AC$51="Leve"),CONCATENATE("R8C",'Mapa final'!$Q$51),"")</f>
        <v/>
      </c>
      <c r="K23" s="55" t="str">
        <f>IF(AND('Mapa final'!$AA$52="Alta",'Mapa final'!$AC$52="Leve"),CONCATENATE("R8C",'Mapa final'!$Q$52),"")</f>
        <v/>
      </c>
      <c r="L23" s="55" t="str">
        <f>IF(AND('Mapa final'!$AA$53="Alta",'Mapa final'!$AC$53="Leve"),CONCATENATE("R8C",'Mapa final'!$Q$53),"")</f>
        <v/>
      </c>
      <c r="M23" s="55" t="str">
        <f>IF(AND('Mapa final'!$AA$54="Alta",'Mapa final'!$AC$54="Leve"),CONCATENATE("R8C",'Mapa final'!$Q$54),"")</f>
        <v/>
      </c>
      <c r="N23" s="55" t="str">
        <f>IF(AND('Mapa final'!$AA$55="Alta",'Mapa final'!$AC$55="Leve"),CONCATENATE("R8C",'Mapa final'!$Q$55),"")</f>
        <v/>
      </c>
      <c r="O23" s="56" t="str">
        <f>IF(AND('Mapa final'!$AA$56="Alta",'Mapa final'!$AC$56="Leve"),CONCATENATE("R8C",'Mapa final'!$Q$56),"")</f>
        <v/>
      </c>
      <c r="P23" s="54" t="str">
        <f>IF(AND('Mapa final'!$AA$51="Alta",'Mapa final'!$AC$51="Menor"),CONCATENATE("R8C",'Mapa final'!$Q$51),"")</f>
        <v/>
      </c>
      <c r="Q23" s="55" t="str">
        <f>IF(AND('Mapa final'!$AA$52="Alta",'Mapa final'!$AC$52="Menor"),CONCATENATE("R8C",'Mapa final'!$Q$52),"")</f>
        <v/>
      </c>
      <c r="R23" s="55" t="str">
        <f>IF(AND('Mapa final'!$AA$53="Alta",'Mapa final'!$AC$53="Menor"),CONCATENATE("R8C",'Mapa final'!$Q$53),"")</f>
        <v/>
      </c>
      <c r="S23" s="55" t="str">
        <f>IF(AND('Mapa final'!$AA$54="Alta",'Mapa final'!$AC$54="Menor"),CONCATENATE("R8C",'Mapa final'!$Q$54),"")</f>
        <v/>
      </c>
      <c r="T23" s="55" t="str">
        <f>IF(AND('Mapa final'!$AA$55="Alta",'Mapa final'!$AC$55="Menor"),CONCATENATE("R8C",'Mapa final'!$Q$55),"")</f>
        <v/>
      </c>
      <c r="U23" s="56" t="str">
        <f>IF(AND('Mapa final'!$AA$56="Alta",'Mapa final'!$AC$56="Menor"),CONCATENATE("R8C",'Mapa final'!$Q$56),"")</f>
        <v/>
      </c>
      <c r="V23" s="38" t="str">
        <f>IF(AND('Mapa final'!$AA$51="Alta",'Mapa final'!$AC$51="Moderado"),CONCATENATE("R8C",'Mapa final'!$Q$51),"")</f>
        <v/>
      </c>
      <c r="W23" s="39" t="str">
        <f>IF(AND('Mapa final'!$AA$52="Alta",'Mapa final'!$AC$52="Moderado"),CONCATENATE("R8C",'Mapa final'!$Q$52),"")</f>
        <v/>
      </c>
      <c r="X23" s="44" t="str">
        <f>IF(AND('Mapa final'!$AA$53="Alta",'Mapa final'!$AC$53="Moderado"),CONCATENATE("R8C",'Mapa final'!$Q$53),"")</f>
        <v/>
      </c>
      <c r="Y23" s="44" t="str">
        <f>IF(AND('Mapa final'!$AA$54="Alta",'Mapa final'!$AC$54="Moderado"),CONCATENATE("R8C",'Mapa final'!$Q$54),"")</f>
        <v/>
      </c>
      <c r="Z23" s="44" t="str">
        <f>IF(AND('Mapa final'!$AA$55="Alta",'Mapa final'!$AC$55="Moderado"),CONCATENATE("R8C",'Mapa final'!$Q$55),"")</f>
        <v/>
      </c>
      <c r="AA23" s="40" t="str">
        <f>IF(AND('Mapa final'!$AA$56="Alta",'Mapa final'!$AC$56="Moderado"),CONCATENATE("R8C",'Mapa final'!$Q$56),"")</f>
        <v/>
      </c>
      <c r="AB23" s="38" t="str">
        <f>IF(AND('Mapa final'!$AA$51="Alta",'Mapa final'!$AC$51="Mayor"),CONCATENATE("R8C",'Mapa final'!$Q$51),"")</f>
        <v/>
      </c>
      <c r="AC23" s="39" t="str">
        <f>IF(AND('Mapa final'!$AA$52="Alta",'Mapa final'!$AC$52="Mayor"),CONCATENATE("R8C",'Mapa final'!$Q$52),"")</f>
        <v/>
      </c>
      <c r="AD23" s="44" t="str">
        <f>IF(AND('Mapa final'!$AA$53="Alta",'Mapa final'!$AC$53="Mayor"),CONCATENATE("R8C",'Mapa final'!$Q$53),"")</f>
        <v/>
      </c>
      <c r="AE23" s="44" t="str">
        <f>IF(AND('Mapa final'!$AA$54="Alta",'Mapa final'!$AC$54="Mayor"),CONCATENATE("R8C",'Mapa final'!$Q$54),"")</f>
        <v/>
      </c>
      <c r="AF23" s="44" t="str">
        <f>IF(AND('Mapa final'!$AA$55="Alta",'Mapa final'!$AC$55="Mayor"),CONCATENATE("R8C",'Mapa final'!$Q$55),"")</f>
        <v/>
      </c>
      <c r="AG23" s="40" t="str">
        <f>IF(AND('Mapa final'!$AA$56="Alta",'Mapa final'!$AC$56="Mayor"),CONCATENATE("R8C",'Mapa final'!$Q$56),"")</f>
        <v/>
      </c>
      <c r="AH23" s="41" t="str">
        <f>IF(AND('Mapa final'!$AA$51="Alta",'Mapa final'!$AC$51="Catastrófico"),CONCATENATE("R8C",'Mapa final'!$Q$51),"")</f>
        <v/>
      </c>
      <c r="AI23" s="42" t="str">
        <f>IF(AND('Mapa final'!$AA$52="Alta",'Mapa final'!$AC$52="Catastrófico"),CONCATENATE("R8C",'Mapa final'!$Q$52),"")</f>
        <v/>
      </c>
      <c r="AJ23" s="42" t="str">
        <f>IF(AND('Mapa final'!$AA$53="Alta",'Mapa final'!$AC$53="Catastrófico"),CONCATENATE("R8C",'Mapa final'!$Q$53),"")</f>
        <v/>
      </c>
      <c r="AK23" s="42" t="str">
        <f>IF(AND('Mapa final'!$AA$54="Alta",'Mapa final'!$AC$54="Catastrófico"),CONCATENATE("R8C",'Mapa final'!$Q$54),"")</f>
        <v/>
      </c>
      <c r="AL23" s="42" t="str">
        <f>IF(AND('Mapa final'!$AA$55="Alta",'Mapa final'!$AC$55="Catastrófico"),CONCATENATE("R8C",'Mapa final'!$Q$55),"")</f>
        <v/>
      </c>
      <c r="AM23" s="43" t="str">
        <f>IF(AND('Mapa final'!$AA$56="Alta",'Mapa final'!$AC$56="Catastrófico"),CONCATENATE("R8C",'Mapa final'!$Q$56),"")</f>
        <v/>
      </c>
      <c r="AN23" s="70"/>
      <c r="AO23" s="340"/>
      <c r="AP23" s="341"/>
      <c r="AQ23" s="341"/>
      <c r="AR23" s="341"/>
      <c r="AS23" s="341"/>
      <c r="AT23" s="342"/>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89"/>
      <c r="C24" s="289"/>
      <c r="D24" s="290"/>
      <c r="E24" s="330"/>
      <c r="F24" s="331"/>
      <c r="G24" s="331"/>
      <c r="H24" s="331"/>
      <c r="I24" s="347"/>
      <c r="J24" s="54" t="str">
        <f>IF(AND('Mapa final'!$AA$57="Alta",'Mapa final'!$AC$57="Leve"),CONCATENATE("R9C",'Mapa final'!$Q$57),"")</f>
        <v/>
      </c>
      <c r="K24" s="55" t="str">
        <f>IF(AND('Mapa final'!$AA$58="Alta",'Mapa final'!$AC$58="Leve"),CONCATENATE("R9C",'Mapa final'!$Q$58),"")</f>
        <v/>
      </c>
      <c r="L24" s="55" t="str">
        <f>IF(AND('Mapa final'!$AA$59="Alta",'Mapa final'!$AC$59="Leve"),CONCATENATE("R9C",'Mapa final'!$Q$59),"")</f>
        <v/>
      </c>
      <c r="M24" s="55" t="str">
        <f>IF(AND('Mapa final'!$AA$60="Alta",'Mapa final'!$AC$60="Leve"),CONCATENATE("R9C",'Mapa final'!$Q$60),"")</f>
        <v/>
      </c>
      <c r="N24" s="55" t="str">
        <f>IF(AND('Mapa final'!$AA$61="Alta",'Mapa final'!$AC$61="Leve"),CONCATENATE("R9C",'Mapa final'!$Q$61),"")</f>
        <v/>
      </c>
      <c r="O24" s="56" t="str">
        <f>IF(AND('Mapa final'!$AA$62="Alta",'Mapa final'!$AC$62="Leve"),CONCATENATE("R9C",'Mapa final'!$Q$62),"")</f>
        <v/>
      </c>
      <c r="P24" s="54" t="str">
        <f>IF(AND('Mapa final'!$AA$57="Alta",'Mapa final'!$AC$57="Menor"),CONCATENATE("R9C",'Mapa final'!$Q$57),"")</f>
        <v/>
      </c>
      <c r="Q24" s="55" t="str">
        <f>IF(AND('Mapa final'!$AA$58="Alta",'Mapa final'!$AC$58="Menor"),CONCATENATE("R9C",'Mapa final'!$Q$58),"")</f>
        <v/>
      </c>
      <c r="R24" s="55" t="str">
        <f>IF(AND('Mapa final'!$AA$59="Alta",'Mapa final'!$AC$59="Menor"),CONCATENATE("R9C",'Mapa final'!$Q$59),"")</f>
        <v/>
      </c>
      <c r="S24" s="55" t="str">
        <f>IF(AND('Mapa final'!$AA$60="Alta",'Mapa final'!$AC$60="Menor"),CONCATENATE("R9C",'Mapa final'!$Q$60),"")</f>
        <v/>
      </c>
      <c r="T24" s="55" t="str">
        <f>IF(AND('Mapa final'!$AA$61="Alta",'Mapa final'!$AC$61="Menor"),CONCATENATE("R9C",'Mapa final'!$Q$61),"")</f>
        <v/>
      </c>
      <c r="U24" s="56" t="str">
        <f>IF(AND('Mapa final'!$AA$62="Alta",'Mapa final'!$AC$62="Menor"),CONCATENATE("R9C",'Mapa final'!$Q$62),"")</f>
        <v/>
      </c>
      <c r="V24" s="38" t="str">
        <f>IF(AND('Mapa final'!$AA$57="Alta",'Mapa final'!$AC$57="Moderado"),CONCATENATE("R9C",'Mapa final'!$Q$57),"")</f>
        <v/>
      </c>
      <c r="W24" s="39" t="str">
        <f>IF(AND('Mapa final'!$AA$58="Alta",'Mapa final'!$AC$58="Moderado"),CONCATENATE("R9C",'Mapa final'!$Q$58),"")</f>
        <v/>
      </c>
      <c r="X24" s="44" t="str">
        <f>IF(AND('Mapa final'!$AA$59="Alta",'Mapa final'!$AC$59="Moderado"),CONCATENATE("R9C",'Mapa final'!$Q$59),"")</f>
        <v/>
      </c>
      <c r="Y24" s="44" t="str">
        <f>IF(AND('Mapa final'!$AA$60="Alta",'Mapa final'!$AC$60="Moderado"),CONCATENATE("R9C",'Mapa final'!$Q$60),"")</f>
        <v/>
      </c>
      <c r="Z24" s="44" t="str">
        <f>IF(AND('Mapa final'!$AA$61="Alta",'Mapa final'!$AC$61="Moderado"),CONCATENATE("R9C",'Mapa final'!$Q$61),"")</f>
        <v/>
      </c>
      <c r="AA24" s="40" t="str">
        <f>IF(AND('Mapa final'!$AA$62="Alta",'Mapa final'!$AC$62="Moderado"),CONCATENATE("R9C",'Mapa final'!$Q$62),"")</f>
        <v/>
      </c>
      <c r="AB24" s="38" t="str">
        <f>IF(AND('Mapa final'!$AA$57="Alta",'Mapa final'!$AC$57="Mayor"),CONCATENATE("R9C",'Mapa final'!$Q$57),"")</f>
        <v/>
      </c>
      <c r="AC24" s="39" t="str">
        <f>IF(AND('Mapa final'!$AA$58="Alta",'Mapa final'!$AC$58="Mayor"),CONCATENATE("R9C",'Mapa final'!$Q$58),"")</f>
        <v/>
      </c>
      <c r="AD24" s="44" t="str">
        <f>IF(AND('Mapa final'!$AA$59="Alta",'Mapa final'!$AC$59="Mayor"),CONCATENATE("R9C",'Mapa final'!$Q$59),"")</f>
        <v/>
      </c>
      <c r="AE24" s="44" t="str">
        <f>IF(AND('Mapa final'!$AA$60="Alta",'Mapa final'!$AC$60="Mayor"),CONCATENATE("R9C",'Mapa final'!$Q$60),"")</f>
        <v/>
      </c>
      <c r="AF24" s="44" t="str">
        <f>IF(AND('Mapa final'!$AA$61="Alta",'Mapa final'!$AC$61="Mayor"),CONCATENATE("R9C",'Mapa final'!$Q$61),"")</f>
        <v/>
      </c>
      <c r="AG24" s="40" t="str">
        <f>IF(AND('Mapa final'!$AA$62="Alta",'Mapa final'!$AC$62="Mayor"),CONCATENATE("R9C",'Mapa final'!$Q$62),"")</f>
        <v/>
      </c>
      <c r="AH24" s="41" t="str">
        <f>IF(AND('Mapa final'!$AA$57="Alta",'Mapa final'!$AC$57="Catastrófico"),CONCATENATE("R9C",'Mapa final'!$Q$57),"")</f>
        <v/>
      </c>
      <c r="AI24" s="42" t="str">
        <f>IF(AND('Mapa final'!$AA$58="Alta",'Mapa final'!$AC$58="Catastrófico"),CONCATENATE("R9C",'Mapa final'!$Q$58),"")</f>
        <v/>
      </c>
      <c r="AJ24" s="42" t="str">
        <f>IF(AND('Mapa final'!$AA$59="Alta",'Mapa final'!$AC$59="Catastrófico"),CONCATENATE("R9C",'Mapa final'!$Q$59),"")</f>
        <v/>
      </c>
      <c r="AK24" s="42" t="str">
        <f>IF(AND('Mapa final'!$AA$60="Alta",'Mapa final'!$AC$60="Catastrófico"),CONCATENATE("R9C",'Mapa final'!$Q$60),"")</f>
        <v/>
      </c>
      <c r="AL24" s="42" t="str">
        <f>IF(AND('Mapa final'!$AA$61="Alta",'Mapa final'!$AC$61="Catastrófico"),CONCATENATE("R9C",'Mapa final'!$Q$61),"")</f>
        <v/>
      </c>
      <c r="AM24" s="43" t="str">
        <f>IF(AND('Mapa final'!$AA$62="Alta",'Mapa final'!$AC$62="Catastrófico"),CONCATENATE("R9C",'Mapa final'!$Q$62),"")</f>
        <v/>
      </c>
      <c r="AN24" s="70"/>
      <c r="AO24" s="340"/>
      <c r="AP24" s="341"/>
      <c r="AQ24" s="341"/>
      <c r="AR24" s="341"/>
      <c r="AS24" s="341"/>
      <c r="AT24" s="342"/>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89"/>
      <c r="C25" s="289"/>
      <c r="D25" s="290"/>
      <c r="E25" s="333"/>
      <c r="F25" s="334"/>
      <c r="G25" s="334"/>
      <c r="H25" s="334"/>
      <c r="I25" s="334"/>
      <c r="J25" s="57" t="str">
        <f>IF(AND('Mapa final'!$AA$63="Alta",'Mapa final'!$AC$63="Leve"),CONCATENATE("R10C",'Mapa final'!$Q$63),"")</f>
        <v/>
      </c>
      <c r="K25" s="58" t="str">
        <f>IF(AND('Mapa final'!$AA$64="Alta",'Mapa final'!$AC$64="Leve"),CONCATENATE("R10C",'Mapa final'!$Q$64),"")</f>
        <v/>
      </c>
      <c r="L25" s="58" t="str">
        <f>IF(AND('Mapa final'!$AA$65="Alta",'Mapa final'!$AC$65="Leve"),CONCATENATE("R10C",'Mapa final'!$Q$65),"")</f>
        <v/>
      </c>
      <c r="M25" s="58" t="str">
        <f>IF(AND('Mapa final'!$AA$66="Alta",'Mapa final'!$AC$66="Leve"),CONCATENATE("R10C",'Mapa final'!$Q$66),"")</f>
        <v/>
      </c>
      <c r="N25" s="58" t="str">
        <f>IF(AND('Mapa final'!$AA$67="Alta",'Mapa final'!$AC$67="Leve"),CONCATENATE("R10C",'Mapa final'!$Q$67),"")</f>
        <v/>
      </c>
      <c r="O25" s="59" t="str">
        <f>IF(AND('Mapa final'!$AA$68="Alta",'Mapa final'!$AC$68="Leve"),CONCATENATE("R10C",'Mapa final'!$Q$68),"")</f>
        <v/>
      </c>
      <c r="P25" s="57" t="str">
        <f>IF(AND('Mapa final'!$AA$63="Alta",'Mapa final'!$AC$63="Menor"),CONCATENATE("R10C",'Mapa final'!$Q$63),"")</f>
        <v/>
      </c>
      <c r="Q25" s="58" t="str">
        <f>IF(AND('Mapa final'!$AA$64="Alta",'Mapa final'!$AC$64="Menor"),CONCATENATE("R10C",'Mapa final'!$Q$64),"")</f>
        <v/>
      </c>
      <c r="R25" s="58" t="str">
        <f>IF(AND('Mapa final'!$AA$65="Alta",'Mapa final'!$AC$65="Menor"),CONCATENATE("R10C",'Mapa final'!$Q$65),"")</f>
        <v/>
      </c>
      <c r="S25" s="58" t="str">
        <f>IF(AND('Mapa final'!$AA$66="Alta",'Mapa final'!$AC$66="Menor"),CONCATENATE("R10C",'Mapa final'!$Q$66),"")</f>
        <v/>
      </c>
      <c r="T25" s="58" t="str">
        <f>IF(AND('Mapa final'!$AA$67="Alta",'Mapa final'!$AC$67="Menor"),CONCATENATE("R10C",'Mapa final'!$Q$67),"")</f>
        <v/>
      </c>
      <c r="U25" s="59" t="str">
        <f>IF(AND('Mapa final'!$AA$68="Alta",'Mapa final'!$AC$68="Menor"),CONCATENATE("R10C",'Mapa final'!$Q$68),"")</f>
        <v/>
      </c>
      <c r="V25" s="45" t="str">
        <f>IF(AND('Mapa final'!$AA$63="Alta",'Mapa final'!$AC$63="Moderado"),CONCATENATE("R10C",'Mapa final'!$Q$63),"")</f>
        <v/>
      </c>
      <c r="W25" s="46" t="str">
        <f>IF(AND('Mapa final'!$AA$64="Alta",'Mapa final'!$AC$64="Moderado"),CONCATENATE("R10C",'Mapa final'!$Q$64),"")</f>
        <v/>
      </c>
      <c r="X25" s="46" t="str">
        <f>IF(AND('Mapa final'!$AA$65="Alta",'Mapa final'!$AC$65="Moderado"),CONCATENATE("R10C",'Mapa final'!$Q$65),"")</f>
        <v/>
      </c>
      <c r="Y25" s="46" t="str">
        <f>IF(AND('Mapa final'!$AA$66="Alta",'Mapa final'!$AC$66="Moderado"),CONCATENATE("R10C",'Mapa final'!$Q$66),"")</f>
        <v/>
      </c>
      <c r="Z25" s="46" t="str">
        <f>IF(AND('Mapa final'!$AA$67="Alta",'Mapa final'!$AC$67="Moderado"),CONCATENATE("R10C",'Mapa final'!$Q$67),"")</f>
        <v/>
      </c>
      <c r="AA25" s="47" t="str">
        <f>IF(AND('Mapa final'!$AA$68="Alta",'Mapa final'!$AC$68="Moderado"),CONCATENATE("R10C",'Mapa final'!$Q$68),"")</f>
        <v/>
      </c>
      <c r="AB25" s="45" t="str">
        <f>IF(AND('Mapa final'!$AA$63="Alta",'Mapa final'!$AC$63="Mayor"),CONCATENATE("R10C",'Mapa final'!$Q$63),"")</f>
        <v/>
      </c>
      <c r="AC25" s="46" t="str">
        <f>IF(AND('Mapa final'!$AA$64="Alta",'Mapa final'!$AC$64="Mayor"),CONCATENATE("R10C",'Mapa final'!$Q$64),"")</f>
        <v/>
      </c>
      <c r="AD25" s="46" t="str">
        <f>IF(AND('Mapa final'!$AA$65="Alta",'Mapa final'!$AC$65="Mayor"),CONCATENATE("R10C",'Mapa final'!$Q$65),"")</f>
        <v/>
      </c>
      <c r="AE25" s="46" t="str">
        <f>IF(AND('Mapa final'!$AA$66="Alta",'Mapa final'!$AC$66="Mayor"),CONCATENATE("R10C",'Mapa final'!$Q$66),"")</f>
        <v/>
      </c>
      <c r="AF25" s="46" t="str">
        <f>IF(AND('Mapa final'!$AA$67="Alta",'Mapa final'!$AC$67="Mayor"),CONCATENATE("R10C",'Mapa final'!$Q$67),"")</f>
        <v/>
      </c>
      <c r="AG25" s="47" t="str">
        <f>IF(AND('Mapa final'!$AA$68="Alta",'Mapa final'!$AC$68="Mayor"),CONCATENATE("R10C",'Mapa final'!$Q$68),"")</f>
        <v/>
      </c>
      <c r="AH25" s="48" t="str">
        <f>IF(AND('Mapa final'!$AA$63="Alta",'Mapa final'!$AC$63="Catastrófico"),CONCATENATE("R10C",'Mapa final'!$Q$63),"")</f>
        <v/>
      </c>
      <c r="AI25" s="49" t="str">
        <f>IF(AND('Mapa final'!$AA$64="Alta",'Mapa final'!$AC$64="Catastrófico"),CONCATENATE("R10C",'Mapa final'!$Q$64),"")</f>
        <v/>
      </c>
      <c r="AJ25" s="49" t="str">
        <f>IF(AND('Mapa final'!$AA$65="Alta",'Mapa final'!$AC$65="Catastrófico"),CONCATENATE("R10C",'Mapa final'!$Q$65),"")</f>
        <v/>
      </c>
      <c r="AK25" s="49" t="str">
        <f>IF(AND('Mapa final'!$AA$66="Alta",'Mapa final'!$AC$66="Catastrófico"),CONCATENATE("R10C",'Mapa final'!$Q$66),"")</f>
        <v/>
      </c>
      <c r="AL25" s="49" t="str">
        <f>IF(AND('Mapa final'!$AA$67="Alta",'Mapa final'!$AC$67="Catastrófico"),CONCATENATE("R10C",'Mapa final'!$Q$67),"")</f>
        <v/>
      </c>
      <c r="AM25" s="50" t="str">
        <f>IF(AND('Mapa final'!$AA$68="Alta",'Mapa final'!$AC$68="Catastrófico"),CONCATENATE("R10C",'Mapa final'!$Q$68),"")</f>
        <v/>
      </c>
      <c r="AN25" s="70"/>
      <c r="AO25" s="343"/>
      <c r="AP25" s="344"/>
      <c r="AQ25" s="344"/>
      <c r="AR25" s="344"/>
      <c r="AS25" s="344"/>
      <c r="AT25" s="34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89"/>
      <c r="C26" s="289"/>
      <c r="D26" s="290"/>
      <c r="E26" s="327" t="s">
        <v>113</v>
      </c>
      <c r="F26" s="328"/>
      <c r="G26" s="328"/>
      <c r="H26" s="328"/>
      <c r="I26" s="329"/>
      <c r="J26" s="51" t="str">
        <f>IF(AND('Mapa final'!$AA$9="Media",'Mapa final'!$AC$9="Leve"),CONCATENATE("R1C",'Mapa final'!$Q$9),"")</f>
        <v/>
      </c>
      <c r="K26" s="52" t="str">
        <f>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IF(AND('Mapa final'!$AA$9="Media",'Mapa final'!$AC$9="Menor"),CONCATENATE("R1C",'Mapa final'!$Q$9),"")</f>
        <v/>
      </c>
      <c r="Q26" s="52" t="str">
        <f>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IF(AND('Mapa final'!$AA$9="Media",'Mapa final'!$AC$9="Moderado"),CONCATENATE("R1C",'Mapa final'!$Q$9),"")</f>
        <v/>
      </c>
      <c r="W26" s="52" t="str">
        <f>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IF(AND('Mapa final'!$AA$9="Media",'Mapa final'!$AC$9="Mayor"),CONCATENATE("R1C",'Mapa final'!$Q$9),"")</f>
        <v/>
      </c>
      <c r="AC26" s="33" t="str">
        <f>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IF(AND('Mapa final'!$AA$9="Media",'Mapa final'!$AC$9="Catastrófico"),CONCATENATE("R1C",'Mapa final'!$Q$9),"")</f>
        <v/>
      </c>
      <c r="AI26" s="36" t="str">
        <f>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68" t="s">
        <v>77</v>
      </c>
      <c r="AP26" s="369"/>
      <c r="AQ26" s="369"/>
      <c r="AR26" s="369"/>
      <c r="AS26" s="369"/>
      <c r="AT26" s="3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89"/>
      <c r="C27" s="289"/>
      <c r="D27" s="290"/>
      <c r="E27" s="346"/>
      <c r="F27" s="347"/>
      <c r="G27" s="347"/>
      <c r="H27" s="347"/>
      <c r="I27" s="332"/>
      <c r="J27" s="54" t="str">
        <f>IF(AND('Mapa final'!$AA$15="Media",'Mapa final'!$AC$15="Leve"),CONCATENATE("R2C",'Mapa final'!$Q$15),"")</f>
        <v>R2C1</v>
      </c>
      <c r="K27" s="55" t="str">
        <f>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IF(AND('Mapa final'!$AA$15="Media",'Mapa final'!$AC$15="Menor"),CONCATENATE("R2C",'Mapa final'!$Q$15),"")</f>
        <v/>
      </c>
      <c r="Q27" s="55" t="str">
        <f>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IF(AND('Mapa final'!$AA$15="Media",'Mapa final'!$AC$15="Moderado"),CONCATENATE("R2C",'Mapa final'!$Q$15),"")</f>
        <v/>
      </c>
      <c r="W27" s="55" t="str">
        <f>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IF(AND('Mapa final'!$AA$15="Media",'Mapa final'!$AC$15="Mayor"),CONCATENATE("R2C",'Mapa final'!$Q$15),"")</f>
        <v/>
      </c>
      <c r="AC27" s="39" t="str">
        <f>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IF(AND('Mapa final'!$AA$15="Media",'Mapa final'!$AC$15="Catastrófico"),CONCATENATE("R2C",'Mapa final'!$Q$15),"")</f>
        <v/>
      </c>
      <c r="AI27" s="42" t="str">
        <f>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71"/>
      <c r="AP27" s="372"/>
      <c r="AQ27" s="372"/>
      <c r="AR27" s="372"/>
      <c r="AS27" s="372"/>
      <c r="AT27" s="373"/>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89"/>
      <c r="C28" s="289"/>
      <c r="D28" s="290"/>
      <c r="E28" s="330"/>
      <c r="F28" s="331"/>
      <c r="G28" s="331"/>
      <c r="H28" s="331"/>
      <c r="I28" s="332"/>
      <c r="J28" s="54" t="str">
        <f>IF(AND('Mapa final'!$AA$21="Media",'Mapa final'!$AC$21="Leve"),CONCATENATE("R3C",'Mapa final'!$Q$21),"")</f>
        <v/>
      </c>
      <c r="K28" s="55" t="str">
        <f>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IF(AND('Mapa final'!$AA$21="Media",'Mapa final'!$AC$21="Menor"),CONCATENATE("R3C",'Mapa final'!$Q$21),"")</f>
        <v/>
      </c>
      <c r="Q28" s="55" t="str">
        <f>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IF(AND('Mapa final'!$AA$21="Media",'Mapa final'!$AC$21="Moderado"),CONCATENATE("R3C",'Mapa final'!$Q$21),"")</f>
        <v>R3C1</v>
      </c>
      <c r="W28" s="55" t="str">
        <f>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IF(AND('Mapa final'!$AA$21="Media",'Mapa final'!$AC$21="Mayor"),CONCATENATE("R3C",'Mapa final'!$Q$21),"")</f>
        <v/>
      </c>
      <c r="AC28" s="39" t="str">
        <f>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IF(AND('Mapa final'!$AA$21="Media",'Mapa final'!$AC$21="Catastrófico"),CONCATENATE("R3C",'Mapa final'!$Q$21),"")</f>
        <v/>
      </c>
      <c r="AI28" s="42" t="str">
        <f>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71"/>
      <c r="AP28" s="372"/>
      <c r="AQ28" s="372"/>
      <c r="AR28" s="372"/>
      <c r="AS28" s="372"/>
      <c r="AT28" s="373"/>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89"/>
      <c r="C29" s="289"/>
      <c r="D29" s="290"/>
      <c r="E29" s="330"/>
      <c r="F29" s="331"/>
      <c r="G29" s="331"/>
      <c r="H29" s="331"/>
      <c r="I29" s="332"/>
      <c r="J29" s="54" t="str">
        <f>IF(AND('Mapa final'!$AA$27="Media",'Mapa final'!$AC$27="Leve"),CONCATENATE("R4C",'Mapa final'!$Q$27),"")</f>
        <v/>
      </c>
      <c r="K29" s="55" t="str">
        <f>IF(AND('Mapa final'!$AA$28="Media",'Mapa final'!$AC$28="Leve"),CONCATENATE("R4C",'Mapa final'!$Q$28),"")</f>
        <v/>
      </c>
      <c r="L29" s="55" t="str">
        <f>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IF(AND('Mapa final'!$AA$27="Media",'Mapa final'!$AC$27="Menor"),CONCATENATE("R4C",'Mapa final'!$Q$27),"")</f>
        <v/>
      </c>
      <c r="Q29" s="55" t="str">
        <f>IF(AND('Mapa final'!$AA$28="Media",'Mapa final'!$AC$28="Menor"),CONCATENATE("R4C",'Mapa final'!$Q$28),"")</f>
        <v/>
      </c>
      <c r="R29" s="55" t="str">
        <f>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IF(AND('Mapa final'!$AA$27="Media",'Mapa final'!$AC$27="Moderado"),CONCATENATE("R4C",'Mapa final'!$Q$27),"")</f>
        <v/>
      </c>
      <c r="W29" s="55" t="str">
        <f>IF(AND('Mapa final'!$AA$28="Media",'Mapa final'!$AC$28="Moderado"),CONCATENATE("R4C",'Mapa final'!$Q$28),"")</f>
        <v/>
      </c>
      <c r="X29" s="55" t="str">
        <f>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IF(AND('Mapa final'!$AA$27="Media",'Mapa final'!$AC$27="Mayor"),CONCATENATE("R4C",'Mapa final'!$Q$27),"")</f>
        <v/>
      </c>
      <c r="AC29" s="39" t="str">
        <f>IF(AND('Mapa final'!$AA$28="Media",'Mapa final'!$AC$28="Mayor"),CONCATENATE("R4C",'Mapa final'!$Q$28),"")</f>
        <v/>
      </c>
      <c r="AD29" s="44" t="str">
        <f>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IF(AND('Mapa final'!$AA$27="Media",'Mapa final'!$AC$27="Catastrófico"),CONCATENATE("R4C",'Mapa final'!$Q$27),"")</f>
        <v/>
      </c>
      <c r="AI29" s="42" t="str">
        <f>IF(AND('Mapa final'!$AA$28="Media",'Mapa final'!$AC$28="Catastrófico"),CONCATENATE("R4C",'Mapa final'!$Q$28),"")</f>
        <v/>
      </c>
      <c r="AJ29" s="42" t="str">
        <f>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71"/>
      <c r="AP29" s="372"/>
      <c r="AQ29" s="372"/>
      <c r="AR29" s="372"/>
      <c r="AS29" s="372"/>
      <c r="AT29" s="373"/>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89"/>
      <c r="C30" s="289"/>
      <c r="D30" s="290"/>
      <c r="E30" s="330"/>
      <c r="F30" s="331"/>
      <c r="G30" s="331"/>
      <c r="H30" s="331"/>
      <c r="I30" s="332"/>
      <c r="J30" s="54" t="str">
        <f>IF(AND('Mapa final'!$AA$33="Media",'Mapa final'!$AC$33="Leve"),CONCATENATE("R5C",'Mapa final'!$Q$33),"")</f>
        <v/>
      </c>
      <c r="K30" s="55" t="str">
        <f>IF(AND('Mapa final'!$AA$34="Media",'Mapa final'!$AC$34="Leve"),CONCATENATE("R5C",'Mapa final'!$Q$34),"")</f>
        <v/>
      </c>
      <c r="L30" s="55" t="str">
        <f>IF(AND('Mapa final'!$AA$35="Media",'Mapa final'!$AC$35="Leve"),CONCATENATE("R5C",'Mapa final'!$Q$35),"")</f>
        <v/>
      </c>
      <c r="M30" s="55" t="str">
        <f>IF(AND('Mapa final'!$AA$36="Media",'Mapa final'!$AC$36="Leve"),CONCATENATE("R5C",'Mapa final'!$Q$36),"")</f>
        <v/>
      </c>
      <c r="N30" s="55" t="str">
        <f>IF(AND('Mapa final'!$AA$37="Media",'Mapa final'!$AC$37="Leve"),CONCATENATE("R5C",'Mapa final'!$Q$37),"")</f>
        <v/>
      </c>
      <c r="O30" s="56" t="str">
        <f>IF(AND('Mapa final'!$AA$38="Media",'Mapa final'!$AC$38="Leve"),CONCATENATE("R5C",'Mapa final'!$Q$38),"")</f>
        <v/>
      </c>
      <c r="P30" s="54" t="str">
        <f>IF(AND('Mapa final'!$AA$33="Media",'Mapa final'!$AC$33="Menor"),CONCATENATE("R5C",'Mapa final'!$Q$33),"")</f>
        <v/>
      </c>
      <c r="Q30" s="55" t="str">
        <f>IF(AND('Mapa final'!$AA$34="Media",'Mapa final'!$AC$34="Menor"),CONCATENATE("R5C",'Mapa final'!$Q$34),"")</f>
        <v/>
      </c>
      <c r="R30" s="55" t="str">
        <f>IF(AND('Mapa final'!$AA$35="Media",'Mapa final'!$AC$35="Menor"),CONCATENATE("R5C",'Mapa final'!$Q$35),"")</f>
        <v/>
      </c>
      <c r="S30" s="55" t="str">
        <f>IF(AND('Mapa final'!$AA$36="Media",'Mapa final'!$AC$36="Menor"),CONCATENATE("R5C",'Mapa final'!$Q$36),"")</f>
        <v/>
      </c>
      <c r="T30" s="55" t="str">
        <f>IF(AND('Mapa final'!$AA$37="Media",'Mapa final'!$AC$37="Menor"),CONCATENATE("R5C",'Mapa final'!$Q$37),"")</f>
        <v/>
      </c>
      <c r="U30" s="56" t="str">
        <f>IF(AND('Mapa final'!$AA$38="Media",'Mapa final'!$AC$38="Menor"),CONCATENATE("R5C",'Mapa final'!$Q$38),"")</f>
        <v/>
      </c>
      <c r="V30" s="54" t="str">
        <f>IF(AND('Mapa final'!$AA$33="Media",'Mapa final'!$AC$33="Moderado"),CONCATENATE("R5C",'Mapa final'!$Q$33),"")</f>
        <v/>
      </c>
      <c r="W30" s="55" t="str">
        <f>IF(AND('Mapa final'!$AA$34="Media",'Mapa final'!$AC$34="Moderado"),CONCATENATE("R5C",'Mapa final'!$Q$34),"")</f>
        <v/>
      </c>
      <c r="X30" s="55" t="str">
        <f>IF(AND('Mapa final'!$AA$35="Media",'Mapa final'!$AC$35="Moderado"),CONCATENATE("R5C",'Mapa final'!$Q$35),"")</f>
        <v/>
      </c>
      <c r="Y30" s="55" t="str">
        <f>IF(AND('Mapa final'!$AA$36="Media",'Mapa final'!$AC$36="Moderado"),CONCATENATE("R5C",'Mapa final'!$Q$36),"")</f>
        <v/>
      </c>
      <c r="Z30" s="55" t="str">
        <f>IF(AND('Mapa final'!$AA$37="Media",'Mapa final'!$AC$37="Moderado"),CONCATENATE("R5C",'Mapa final'!$Q$37),"")</f>
        <v/>
      </c>
      <c r="AA30" s="56" t="str">
        <f>IF(AND('Mapa final'!$AA$38="Media",'Mapa final'!$AC$38="Moderado"),CONCATENATE("R5C",'Mapa final'!$Q$38),"")</f>
        <v/>
      </c>
      <c r="AB30" s="38" t="str">
        <f>IF(AND('Mapa final'!$AA$33="Media",'Mapa final'!$AC$33="Mayor"),CONCATENATE("R5C",'Mapa final'!$Q$33),"")</f>
        <v/>
      </c>
      <c r="AC30" s="39" t="str">
        <f>IF(AND('Mapa final'!$AA$34="Media",'Mapa final'!$AC$34="Mayor"),CONCATENATE("R5C",'Mapa final'!$Q$34),"")</f>
        <v/>
      </c>
      <c r="AD30" s="44" t="str">
        <f>IF(AND('Mapa final'!$AA$35="Media",'Mapa final'!$AC$35="Mayor"),CONCATENATE("R5C",'Mapa final'!$Q$35),"")</f>
        <v/>
      </c>
      <c r="AE30" s="44" t="str">
        <f>IF(AND('Mapa final'!$AA$36="Media",'Mapa final'!$AC$36="Mayor"),CONCATENATE("R5C",'Mapa final'!$Q$36),"")</f>
        <v/>
      </c>
      <c r="AF30" s="44" t="str">
        <f>IF(AND('Mapa final'!$AA$37="Media",'Mapa final'!$AC$37="Mayor"),CONCATENATE("R5C",'Mapa final'!$Q$37),"")</f>
        <v/>
      </c>
      <c r="AG30" s="40" t="str">
        <f>IF(AND('Mapa final'!$AA$38="Media",'Mapa final'!$AC$38="Mayor"),CONCATENATE("R5C",'Mapa final'!$Q$38),"")</f>
        <v/>
      </c>
      <c r="AH30" s="41" t="str">
        <f>IF(AND('Mapa final'!$AA$33="Media",'Mapa final'!$AC$33="Catastrófico"),CONCATENATE("R5C",'Mapa final'!$Q$33),"")</f>
        <v/>
      </c>
      <c r="AI30" s="42" t="str">
        <f>IF(AND('Mapa final'!$AA$34="Media",'Mapa final'!$AC$34="Catastrófico"),CONCATENATE("R5C",'Mapa final'!$Q$34),"")</f>
        <v/>
      </c>
      <c r="AJ30" s="42" t="str">
        <f>IF(AND('Mapa final'!$AA$35="Media",'Mapa final'!$AC$35="Catastrófico"),CONCATENATE("R5C",'Mapa final'!$Q$35),"")</f>
        <v/>
      </c>
      <c r="AK30" s="42" t="str">
        <f>IF(AND('Mapa final'!$AA$36="Media",'Mapa final'!$AC$36="Catastrófico"),CONCATENATE("R5C",'Mapa final'!$Q$36),"")</f>
        <v/>
      </c>
      <c r="AL30" s="42" t="str">
        <f>IF(AND('Mapa final'!$AA$37="Media",'Mapa final'!$AC$37="Catastrófico"),CONCATENATE("R5C",'Mapa final'!$Q$37),"")</f>
        <v/>
      </c>
      <c r="AM30" s="43" t="str">
        <f>IF(AND('Mapa final'!$AA$38="Media",'Mapa final'!$AC$38="Catastrófico"),CONCATENATE("R5C",'Mapa final'!$Q$38),"")</f>
        <v/>
      </c>
      <c r="AN30" s="70"/>
      <c r="AO30" s="371"/>
      <c r="AP30" s="372"/>
      <c r="AQ30" s="372"/>
      <c r="AR30" s="372"/>
      <c r="AS30" s="372"/>
      <c r="AT30" s="373"/>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89"/>
      <c r="C31" s="289"/>
      <c r="D31" s="290"/>
      <c r="E31" s="330"/>
      <c r="F31" s="331"/>
      <c r="G31" s="331"/>
      <c r="H31" s="331"/>
      <c r="I31" s="332"/>
      <c r="J31" s="54" t="str">
        <f>IF(AND('Mapa final'!$AA$39="Media",'Mapa final'!$AC$39="Leve"),CONCATENATE("R6C",'Mapa final'!$Q$39),"")</f>
        <v/>
      </c>
      <c r="K31" s="55" t="str">
        <f>IF(AND('Mapa final'!$AA$40="Media",'Mapa final'!$AC$40="Leve"),CONCATENATE("R6C",'Mapa final'!$Q$40),"")</f>
        <v/>
      </c>
      <c r="L31" s="55" t="str">
        <f>IF(AND('Mapa final'!$AA$41="Media",'Mapa final'!$AC$41="Leve"),CONCATENATE("R6C",'Mapa final'!$Q$41),"")</f>
        <v/>
      </c>
      <c r="M31" s="55" t="str">
        <f>IF(AND('Mapa final'!$AA$42="Media",'Mapa final'!$AC$42="Leve"),CONCATENATE("R6C",'Mapa final'!$Q$42),"")</f>
        <v/>
      </c>
      <c r="N31" s="55" t="str">
        <f>IF(AND('Mapa final'!$AA$43="Media",'Mapa final'!$AC$43="Leve"),CONCATENATE("R6C",'Mapa final'!$Q$43),"")</f>
        <v/>
      </c>
      <c r="O31" s="56" t="str">
        <f>IF(AND('Mapa final'!$AA$44="Media",'Mapa final'!$AC$44="Leve"),CONCATENATE("R6C",'Mapa final'!$Q$44),"")</f>
        <v/>
      </c>
      <c r="P31" s="54" t="str">
        <f>IF(AND('Mapa final'!$AA$39="Media",'Mapa final'!$AC$39="Menor"),CONCATENATE("R6C",'Mapa final'!$Q$39),"")</f>
        <v/>
      </c>
      <c r="Q31" s="55" t="str">
        <f>IF(AND('Mapa final'!$AA$40="Media",'Mapa final'!$AC$40="Menor"),CONCATENATE("R6C",'Mapa final'!$Q$40),"")</f>
        <v/>
      </c>
      <c r="R31" s="55" t="str">
        <f>IF(AND('Mapa final'!$AA$41="Media",'Mapa final'!$AC$41="Menor"),CONCATENATE("R6C",'Mapa final'!$Q$41),"")</f>
        <v/>
      </c>
      <c r="S31" s="55" t="str">
        <f>IF(AND('Mapa final'!$AA$42="Media",'Mapa final'!$AC$42="Menor"),CONCATENATE("R6C",'Mapa final'!$Q$42),"")</f>
        <v/>
      </c>
      <c r="T31" s="55" t="str">
        <f>IF(AND('Mapa final'!$AA$43="Media",'Mapa final'!$AC$43="Menor"),CONCATENATE("R6C",'Mapa final'!$Q$43),"")</f>
        <v/>
      </c>
      <c r="U31" s="56" t="str">
        <f>IF(AND('Mapa final'!$AA$44="Media",'Mapa final'!$AC$44="Menor"),CONCATENATE("R6C",'Mapa final'!$Q$44),"")</f>
        <v/>
      </c>
      <c r="V31" s="54" t="str">
        <f>IF(AND('Mapa final'!$AA$39="Media",'Mapa final'!$AC$39="Moderado"),CONCATENATE("R6C",'Mapa final'!$Q$39),"")</f>
        <v/>
      </c>
      <c r="W31" s="55" t="str">
        <f>IF(AND('Mapa final'!$AA$40="Media",'Mapa final'!$AC$40="Moderado"),CONCATENATE("R6C",'Mapa final'!$Q$40),"")</f>
        <v/>
      </c>
      <c r="X31" s="55" t="str">
        <f>IF(AND('Mapa final'!$AA$41="Media",'Mapa final'!$AC$41="Moderado"),CONCATENATE("R6C",'Mapa final'!$Q$41),"")</f>
        <v/>
      </c>
      <c r="Y31" s="55" t="str">
        <f>IF(AND('Mapa final'!$AA$42="Media",'Mapa final'!$AC$42="Moderado"),CONCATENATE("R6C",'Mapa final'!$Q$42),"")</f>
        <v/>
      </c>
      <c r="Z31" s="55" t="str">
        <f>IF(AND('Mapa final'!$AA$43="Media",'Mapa final'!$AC$43="Moderado"),CONCATENATE("R6C",'Mapa final'!$Q$43),"")</f>
        <v/>
      </c>
      <c r="AA31" s="56" t="str">
        <f>IF(AND('Mapa final'!$AA$44="Media",'Mapa final'!$AC$44="Moderado"),CONCATENATE("R6C",'Mapa final'!$Q$44),"")</f>
        <v/>
      </c>
      <c r="AB31" s="38" t="str">
        <f>IF(AND('Mapa final'!$AA$39="Media",'Mapa final'!$AC$39="Mayor"),CONCATENATE("R6C",'Mapa final'!$Q$39),"")</f>
        <v/>
      </c>
      <c r="AC31" s="39" t="str">
        <f>IF(AND('Mapa final'!$AA$40="Media",'Mapa final'!$AC$40="Mayor"),CONCATENATE("R6C",'Mapa final'!$Q$40),"")</f>
        <v/>
      </c>
      <c r="AD31" s="44" t="str">
        <f>IF(AND('Mapa final'!$AA$41="Media",'Mapa final'!$AC$41="Mayor"),CONCATENATE("R6C",'Mapa final'!$Q$41),"")</f>
        <v/>
      </c>
      <c r="AE31" s="44" t="str">
        <f>IF(AND('Mapa final'!$AA$42="Media",'Mapa final'!$AC$42="Mayor"),CONCATENATE("R6C",'Mapa final'!$Q$42),"")</f>
        <v/>
      </c>
      <c r="AF31" s="44" t="str">
        <f>IF(AND('Mapa final'!$AA$43="Media",'Mapa final'!$AC$43="Mayor"),CONCATENATE("R6C",'Mapa final'!$Q$43),"")</f>
        <v/>
      </c>
      <c r="AG31" s="40" t="str">
        <f>IF(AND('Mapa final'!$AA$44="Media",'Mapa final'!$AC$44="Mayor"),CONCATENATE("R6C",'Mapa final'!$Q$44),"")</f>
        <v/>
      </c>
      <c r="AH31" s="41" t="str">
        <f>IF(AND('Mapa final'!$AA$39="Media",'Mapa final'!$AC$39="Catastrófico"),CONCATENATE("R6C",'Mapa final'!$Q$39),"")</f>
        <v/>
      </c>
      <c r="AI31" s="42" t="str">
        <f>IF(AND('Mapa final'!$AA$40="Media",'Mapa final'!$AC$40="Catastrófico"),CONCATENATE("R6C",'Mapa final'!$Q$40),"")</f>
        <v/>
      </c>
      <c r="AJ31" s="42" t="str">
        <f>IF(AND('Mapa final'!$AA$41="Media",'Mapa final'!$AC$41="Catastrófico"),CONCATENATE("R6C",'Mapa final'!$Q$41),"")</f>
        <v/>
      </c>
      <c r="AK31" s="42" t="str">
        <f>IF(AND('Mapa final'!$AA$42="Media",'Mapa final'!$AC$42="Catastrófico"),CONCATENATE("R6C",'Mapa final'!$Q$42),"")</f>
        <v/>
      </c>
      <c r="AL31" s="42" t="str">
        <f>IF(AND('Mapa final'!$AA$43="Media",'Mapa final'!$AC$43="Catastrófico"),CONCATENATE("R6C",'Mapa final'!$Q$43),"")</f>
        <v/>
      </c>
      <c r="AM31" s="43" t="str">
        <f>IF(AND('Mapa final'!$AA$44="Media",'Mapa final'!$AC$44="Catastrófico"),CONCATENATE("R6C",'Mapa final'!$Q$44),"")</f>
        <v/>
      </c>
      <c r="AN31" s="70"/>
      <c r="AO31" s="371"/>
      <c r="AP31" s="372"/>
      <c r="AQ31" s="372"/>
      <c r="AR31" s="372"/>
      <c r="AS31" s="372"/>
      <c r="AT31" s="373"/>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89"/>
      <c r="C32" s="289"/>
      <c r="D32" s="290"/>
      <c r="E32" s="330"/>
      <c r="F32" s="331"/>
      <c r="G32" s="331"/>
      <c r="H32" s="331"/>
      <c r="I32" s="332"/>
      <c r="J32" s="54" t="str">
        <f>IF(AND('Mapa final'!$AA$45="Media",'Mapa final'!$AC$45="Leve"),CONCATENATE("R7C",'Mapa final'!$Q$45),"")</f>
        <v/>
      </c>
      <c r="K32" s="55" t="str">
        <f>IF(AND('Mapa final'!$AA$46="Media",'Mapa final'!$AC$46="Leve"),CONCATENATE("R7C",'Mapa final'!$Q$46),"")</f>
        <v/>
      </c>
      <c r="L32" s="55" t="str">
        <f>IF(AND('Mapa final'!$AA$47="Media",'Mapa final'!$AC$47="Leve"),CONCATENATE("R7C",'Mapa final'!$Q$47),"")</f>
        <v/>
      </c>
      <c r="M32" s="55" t="str">
        <f>IF(AND('Mapa final'!$AA$48="Media",'Mapa final'!$AC$48="Leve"),CONCATENATE("R7C",'Mapa final'!$Q$48),"")</f>
        <v/>
      </c>
      <c r="N32" s="55" t="str">
        <f>IF(AND('Mapa final'!$AA$49="Media",'Mapa final'!$AC$49="Leve"),CONCATENATE("R7C",'Mapa final'!$Q$49),"")</f>
        <v/>
      </c>
      <c r="O32" s="56" t="str">
        <f>IF(AND('Mapa final'!$AA$50="Media",'Mapa final'!$AC$50="Leve"),CONCATENATE("R7C",'Mapa final'!$Q$50),"")</f>
        <v/>
      </c>
      <c r="P32" s="54" t="str">
        <f>IF(AND('Mapa final'!$AA$45="Media",'Mapa final'!$AC$45="Menor"),CONCATENATE("R7C",'Mapa final'!$Q$45),"")</f>
        <v/>
      </c>
      <c r="Q32" s="55" t="str">
        <f>IF(AND('Mapa final'!$AA$46="Media",'Mapa final'!$AC$46="Menor"),CONCATENATE("R7C",'Mapa final'!$Q$46),"")</f>
        <v/>
      </c>
      <c r="R32" s="55" t="str">
        <f>IF(AND('Mapa final'!$AA$47="Media",'Mapa final'!$AC$47="Menor"),CONCATENATE("R7C",'Mapa final'!$Q$47),"")</f>
        <v/>
      </c>
      <c r="S32" s="55" t="str">
        <f>IF(AND('Mapa final'!$AA$48="Media",'Mapa final'!$AC$48="Menor"),CONCATENATE("R7C",'Mapa final'!$Q$48),"")</f>
        <v/>
      </c>
      <c r="T32" s="55" t="str">
        <f>IF(AND('Mapa final'!$AA$49="Media",'Mapa final'!$AC$49="Menor"),CONCATENATE("R7C",'Mapa final'!$Q$49),"")</f>
        <v/>
      </c>
      <c r="U32" s="56" t="str">
        <f>IF(AND('Mapa final'!$AA$50="Media",'Mapa final'!$AC$50="Menor"),CONCATENATE("R7C",'Mapa final'!$Q$50),"")</f>
        <v/>
      </c>
      <c r="V32" s="54" t="str">
        <f>IF(AND('Mapa final'!$AA$45="Media",'Mapa final'!$AC$45="Moderado"),CONCATENATE("R7C",'Mapa final'!$Q$45),"")</f>
        <v/>
      </c>
      <c r="W32" s="55" t="str">
        <f>IF(AND('Mapa final'!$AA$46="Media",'Mapa final'!$AC$46="Moderado"),CONCATENATE("R7C",'Mapa final'!$Q$46),"")</f>
        <v/>
      </c>
      <c r="X32" s="55" t="str">
        <f>IF(AND('Mapa final'!$AA$47="Media",'Mapa final'!$AC$47="Moderado"),CONCATENATE("R7C",'Mapa final'!$Q$47),"")</f>
        <v/>
      </c>
      <c r="Y32" s="55" t="str">
        <f>IF(AND('Mapa final'!$AA$48="Media",'Mapa final'!$AC$48="Moderado"),CONCATENATE("R7C",'Mapa final'!$Q$48),"")</f>
        <v/>
      </c>
      <c r="Z32" s="55" t="str">
        <f>IF(AND('Mapa final'!$AA$49="Media",'Mapa final'!$AC$49="Moderado"),CONCATENATE("R7C",'Mapa final'!$Q$49),"")</f>
        <v/>
      </c>
      <c r="AA32" s="56" t="str">
        <f>IF(AND('Mapa final'!$AA$50="Media",'Mapa final'!$AC$50="Moderado"),CONCATENATE("R7C",'Mapa final'!$Q$50),"")</f>
        <v/>
      </c>
      <c r="AB32" s="38" t="str">
        <f>IF(AND('Mapa final'!$AA$45="Media",'Mapa final'!$AC$45="Mayor"),CONCATENATE("R7C",'Mapa final'!$Q$45),"")</f>
        <v/>
      </c>
      <c r="AC32" s="39" t="str">
        <f>IF(AND('Mapa final'!$AA$46="Media",'Mapa final'!$AC$46="Mayor"),CONCATENATE("R7C",'Mapa final'!$Q$46),"")</f>
        <v/>
      </c>
      <c r="AD32" s="44" t="str">
        <f>IF(AND('Mapa final'!$AA$47="Media",'Mapa final'!$AC$47="Mayor"),CONCATENATE("R7C",'Mapa final'!$Q$47),"")</f>
        <v/>
      </c>
      <c r="AE32" s="44" t="str">
        <f>IF(AND('Mapa final'!$AA$48="Media",'Mapa final'!$AC$48="Mayor"),CONCATENATE("R7C",'Mapa final'!$Q$48),"")</f>
        <v/>
      </c>
      <c r="AF32" s="44" t="str">
        <f>IF(AND('Mapa final'!$AA$49="Media",'Mapa final'!$AC$49="Mayor"),CONCATENATE("R7C",'Mapa final'!$Q$49),"")</f>
        <v/>
      </c>
      <c r="AG32" s="40" t="str">
        <f>IF(AND('Mapa final'!$AA$50="Media",'Mapa final'!$AC$50="Mayor"),CONCATENATE("R7C",'Mapa final'!$Q$50),"")</f>
        <v/>
      </c>
      <c r="AH32" s="41" t="str">
        <f>IF(AND('Mapa final'!$AA$45="Media",'Mapa final'!$AC$45="Catastrófico"),CONCATENATE("R7C",'Mapa final'!$Q$45),"")</f>
        <v/>
      </c>
      <c r="AI32" s="42" t="str">
        <f>IF(AND('Mapa final'!$AA$46="Media",'Mapa final'!$AC$46="Catastrófico"),CONCATENATE("R7C",'Mapa final'!$Q$46),"")</f>
        <v/>
      </c>
      <c r="AJ32" s="42" t="str">
        <f>IF(AND('Mapa final'!$AA$47="Media",'Mapa final'!$AC$47="Catastrófico"),CONCATENATE("R7C",'Mapa final'!$Q$47),"")</f>
        <v/>
      </c>
      <c r="AK32" s="42" t="str">
        <f>IF(AND('Mapa final'!$AA$48="Media",'Mapa final'!$AC$48="Catastrófico"),CONCATENATE("R7C",'Mapa final'!$Q$48),"")</f>
        <v/>
      </c>
      <c r="AL32" s="42" t="str">
        <f>IF(AND('Mapa final'!$AA$49="Media",'Mapa final'!$AC$49="Catastrófico"),CONCATENATE("R7C",'Mapa final'!$Q$49),"")</f>
        <v/>
      </c>
      <c r="AM32" s="43" t="str">
        <f>IF(AND('Mapa final'!$AA$50="Media",'Mapa final'!$AC$50="Catastrófico"),CONCATENATE("R7C",'Mapa final'!$Q$50),"")</f>
        <v/>
      </c>
      <c r="AN32" s="70"/>
      <c r="AO32" s="371"/>
      <c r="AP32" s="372"/>
      <c r="AQ32" s="372"/>
      <c r="AR32" s="372"/>
      <c r="AS32" s="372"/>
      <c r="AT32" s="373"/>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89"/>
      <c r="C33" s="289"/>
      <c r="D33" s="290"/>
      <c r="E33" s="330"/>
      <c r="F33" s="331"/>
      <c r="G33" s="331"/>
      <c r="H33" s="331"/>
      <c r="I33" s="332"/>
      <c r="J33" s="54" t="str">
        <f>IF(AND('Mapa final'!$AA$51="Media",'Mapa final'!$AC$51="Leve"),CONCATENATE("R8C",'Mapa final'!$Q$51),"")</f>
        <v/>
      </c>
      <c r="K33" s="55" t="str">
        <f>IF(AND('Mapa final'!$AA$52="Media",'Mapa final'!$AC$52="Leve"),CONCATENATE("R8C",'Mapa final'!$Q$52),"")</f>
        <v/>
      </c>
      <c r="L33" s="55" t="str">
        <f>IF(AND('Mapa final'!$AA$53="Media",'Mapa final'!$AC$53="Leve"),CONCATENATE("R8C",'Mapa final'!$Q$53),"")</f>
        <v/>
      </c>
      <c r="M33" s="55" t="str">
        <f>IF(AND('Mapa final'!$AA$54="Media",'Mapa final'!$AC$54="Leve"),CONCATENATE("R8C",'Mapa final'!$Q$54),"")</f>
        <v/>
      </c>
      <c r="N33" s="55" t="str">
        <f>IF(AND('Mapa final'!$AA$55="Media",'Mapa final'!$AC$55="Leve"),CONCATENATE("R8C",'Mapa final'!$Q$55),"")</f>
        <v/>
      </c>
      <c r="O33" s="56" t="str">
        <f>IF(AND('Mapa final'!$AA$56="Media",'Mapa final'!$AC$56="Leve"),CONCATENATE("R8C",'Mapa final'!$Q$56),"")</f>
        <v/>
      </c>
      <c r="P33" s="54" t="str">
        <f>IF(AND('Mapa final'!$AA$51="Media",'Mapa final'!$AC$51="Menor"),CONCATENATE("R8C",'Mapa final'!$Q$51),"")</f>
        <v/>
      </c>
      <c r="Q33" s="55" t="str">
        <f>IF(AND('Mapa final'!$AA$52="Media",'Mapa final'!$AC$52="Menor"),CONCATENATE("R8C",'Mapa final'!$Q$52),"")</f>
        <v/>
      </c>
      <c r="R33" s="55" t="str">
        <f>IF(AND('Mapa final'!$AA$53="Media",'Mapa final'!$AC$53="Menor"),CONCATENATE("R8C",'Mapa final'!$Q$53),"")</f>
        <v/>
      </c>
      <c r="S33" s="55" t="str">
        <f>IF(AND('Mapa final'!$AA$54="Media",'Mapa final'!$AC$54="Menor"),CONCATENATE("R8C",'Mapa final'!$Q$54),"")</f>
        <v/>
      </c>
      <c r="T33" s="55" t="str">
        <f>IF(AND('Mapa final'!$AA$55="Media",'Mapa final'!$AC$55="Menor"),CONCATENATE("R8C",'Mapa final'!$Q$55),"")</f>
        <v/>
      </c>
      <c r="U33" s="56" t="str">
        <f>IF(AND('Mapa final'!$AA$56="Media",'Mapa final'!$AC$56="Menor"),CONCATENATE("R8C",'Mapa final'!$Q$56),"")</f>
        <v/>
      </c>
      <c r="V33" s="54" t="str">
        <f>IF(AND('Mapa final'!$AA$51="Media",'Mapa final'!$AC$51="Moderado"),CONCATENATE("R8C",'Mapa final'!$Q$51),"")</f>
        <v/>
      </c>
      <c r="W33" s="55" t="str">
        <f>IF(AND('Mapa final'!$AA$52="Media",'Mapa final'!$AC$52="Moderado"),CONCATENATE("R8C",'Mapa final'!$Q$52),"")</f>
        <v/>
      </c>
      <c r="X33" s="55" t="str">
        <f>IF(AND('Mapa final'!$AA$53="Media",'Mapa final'!$AC$53="Moderado"),CONCATENATE("R8C",'Mapa final'!$Q$53),"")</f>
        <v/>
      </c>
      <c r="Y33" s="55" t="str">
        <f>IF(AND('Mapa final'!$AA$54="Media",'Mapa final'!$AC$54="Moderado"),CONCATENATE("R8C",'Mapa final'!$Q$54),"")</f>
        <v/>
      </c>
      <c r="Z33" s="55" t="str">
        <f>IF(AND('Mapa final'!$AA$55="Media",'Mapa final'!$AC$55="Moderado"),CONCATENATE("R8C",'Mapa final'!$Q$55),"")</f>
        <v/>
      </c>
      <c r="AA33" s="56" t="str">
        <f>IF(AND('Mapa final'!$AA$56="Media",'Mapa final'!$AC$56="Moderado"),CONCATENATE("R8C",'Mapa final'!$Q$56),"")</f>
        <v/>
      </c>
      <c r="AB33" s="38" t="str">
        <f>IF(AND('Mapa final'!$AA$51="Media",'Mapa final'!$AC$51="Mayor"),CONCATENATE("R8C",'Mapa final'!$Q$51),"")</f>
        <v/>
      </c>
      <c r="AC33" s="39" t="str">
        <f>IF(AND('Mapa final'!$AA$52="Media",'Mapa final'!$AC$52="Mayor"),CONCATENATE("R8C",'Mapa final'!$Q$52),"")</f>
        <v/>
      </c>
      <c r="AD33" s="44" t="str">
        <f>IF(AND('Mapa final'!$AA$53="Media",'Mapa final'!$AC$53="Mayor"),CONCATENATE("R8C",'Mapa final'!$Q$53),"")</f>
        <v/>
      </c>
      <c r="AE33" s="44" t="str">
        <f>IF(AND('Mapa final'!$AA$54="Media",'Mapa final'!$AC$54="Mayor"),CONCATENATE("R8C",'Mapa final'!$Q$54),"")</f>
        <v/>
      </c>
      <c r="AF33" s="44" t="str">
        <f>IF(AND('Mapa final'!$AA$55="Media",'Mapa final'!$AC$55="Mayor"),CONCATENATE("R8C",'Mapa final'!$Q$55),"")</f>
        <v/>
      </c>
      <c r="AG33" s="40" t="str">
        <f>IF(AND('Mapa final'!$AA$56="Media",'Mapa final'!$AC$56="Mayor"),CONCATENATE("R8C",'Mapa final'!$Q$56),"")</f>
        <v/>
      </c>
      <c r="AH33" s="41" t="str">
        <f>IF(AND('Mapa final'!$AA$51="Media",'Mapa final'!$AC$51="Catastrófico"),CONCATENATE("R8C",'Mapa final'!$Q$51),"")</f>
        <v/>
      </c>
      <c r="AI33" s="42" t="str">
        <f>IF(AND('Mapa final'!$AA$52="Media",'Mapa final'!$AC$52="Catastrófico"),CONCATENATE("R8C",'Mapa final'!$Q$52),"")</f>
        <v/>
      </c>
      <c r="AJ33" s="42" t="str">
        <f>IF(AND('Mapa final'!$AA$53="Media",'Mapa final'!$AC$53="Catastrófico"),CONCATENATE("R8C",'Mapa final'!$Q$53),"")</f>
        <v/>
      </c>
      <c r="AK33" s="42" t="str">
        <f>IF(AND('Mapa final'!$AA$54="Media",'Mapa final'!$AC$54="Catastrófico"),CONCATENATE("R8C",'Mapa final'!$Q$54),"")</f>
        <v/>
      </c>
      <c r="AL33" s="42" t="str">
        <f>IF(AND('Mapa final'!$AA$55="Media",'Mapa final'!$AC$55="Catastrófico"),CONCATENATE("R8C",'Mapa final'!$Q$55),"")</f>
        <v/>
      </c>
      <c r="AM33" s="43" t="str">
        <f>IF(AND('Mapa final'!$AA$56="Media",'Mapa final'!$AC$56="Catastrófico"),CONCATENATE("R8C",'Mapa final'!$Q$56),"")</f>
        <v/>
      </c>
      <c r="AN33" s="70"/>
      <c r="AO33" s="371"/>
      <c r="AP33" s="372"/>
      <c r="AQ33" s="372"/>
      <c r="AR33" s="372"/>
      <c r="AS33" s="372"/>
      <c r="AT33" s="373"/>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89"/>
      <c r="C34" s="289"/>
      <c r="D34" s="290"/>
      <c r="E34" s="330"/>
      <c r="F34" s="331"/>
      <c r="G34" s="331"/>
      <c r="H34" s="331"/>
      <c r="I34" s="332"/>
      <c r="J34" s="54" t="str">
        <f>IF(AND('Mapa final'!$AA$57="Media",'Mapa final'!$AC$57="Leve"),CONCATENATE("R9C",'Mapa final'!$Q$57),"")</f>
        <v/>
      </c>
      <c r="K34" s="55" t="str">
        <f>IF(AND('Mapa final'!$AA$58="Media",'Mapa final'!$AC$58="Leve"),CONCATENATE("R9C",'Mapa final'!$Q$58),"")</f>
        <v/>
      </c>
      <c r="L34" s="55" t="str">
        <f>IF(AND('Mapa final'!$AA$59="Media",'Mapa final'!$AC$59="Leve"),CONCATENATE("R9C",'Mapa final'!$Q$59),"")</f>
        <v/>
      </c>
      <c r="M34" s="55" t="str">
        <f>IF(AND('Mapa final'!$AA$60="Media",'Mapa final'!$AC$60="Leve"),CONCATENATE("R9C",'Mapa final'!$Q$60),"")</f>
        <v/>
      </c>
      <c r="N34" s="55" t="str">
        <f>IF(AND('Mapa final'!$AA$61="Media",'Mapa final'!$AC$61="Leve"),CONCATENATE("R9C",'Mapa final'!$Q$61),"")</f>
        <v/>
      </c>
      <c r="O34" s="56" t="str">
        <f>IF(AND('Mapa final'!$AA$62="Media",'Mapa final'!$AC$62="Leve"),CONCATENATE("R9C",'Mapa final'!$Q$62),"")</f>
        <v/>
      </c>
      <c r="P34" s="54" t="str">
        <f>IF(AND('Mapa final'!$AA$57="Media",'Mapa final'!$AC$57="Menor"),CONCATENATE("R9C",'Mapa final'!$Q$57),"")</f>
        <v/>
      </c>
      <c r="Q34" s="55" t="str">
        <f>IF(AND('Mapa final'!$AA$58="Media",'Mapa final'!$AC$58="Menor"),CONCATENATE("R9C",'Mapa final'!$Q$58),"")</f>
        <v/>
      </c>
      <c r="R34" s="55" t="str">
        <f>IF(AND('Mapa final'!$AA$59="Media",'Mapa final'!$AC$59="Menor"),CONCATENATE("R9C",'Mapa final'!$Q$59),"")</f>
        <v/>
      </c>
      <c r="S34" s="55" t="str">
        <f>IF(AND('Mapa final'!$AA$60="Media",'Mapa final'!$AC$60="Menor"),CONCATENATE("R9C",'Mapa final'!$Q$60),"")</f>
        <v/>
      </c>
      <c r="T34" s="55" t="str">
        <f>IF(AND('Mapa final'!$AA$61="Media",'Mapa final'!$AC$61="Menor"),CONCATENATE("R9C",'Mapa final'!$Q$61),"")</f>
        <v/>
      </c>
      <c r="U34" s="56" t="str">
        <f>IF(AND('Mapa final'!$AA$62="Media",'Mapa final'!$AC$62="Menor"),CONCATENATE("R9C",'Mapa final'!$Q$62),"")</f>
        <v/>
      </c>
      <c r="V34" s="54" t="str">
        <f>IF(AND('Mapa final'!$AA$57="Media",'Mapa final'!$AC$57="Moderado"),CONCATENATE("R9C",'Mapa final'!$Q$57),"")</f>
        <v/>
      </c>
      <c r="W34" s="55" t="str">
        <f>IF(AND('Mapa final'!$AA$58="Media",'Mapa final'!$AC$58="Moderado"),CONCATENATE("R9C",'Mapa final'!$Q$58),"")</f>
        <v/>
      </c>
      <c r="X34" s="55" t="str">
        <f>IF(AND('Mapa final'!$AA$59="Media",'Mapa final'!$AC$59="Moderado"),CONCATENATE("R9C",'Mapa final'!$Q$59),"")</f>
        <v/>
      </c>
      <c r="Y34" s="55" t="str">
        <f>IF(AND('Mapa final'!$AA$60="Media",'Mapa final'!$AC$60="Moderado"),CONCATENATE("R9C",'Mapa final'!$Q$60),"")</f>
        <v/>
      </c>
      <c r="Z34" s="55" t="str">
        <f>IF(AND('Mapa final'!$AA$61="Media",'Mapa final'!$AC$61="Moderado"),CONCATENATE("R9C",'Mapa final'!$Q$61),"")</f>
        <v/>
      </c>
      <c r="AA34" s="56" t="str">
        <f>IF(AND('Mapa final'!$AA$62="Media",'Mapa final'!$AC$62="Moderado"),CONCATENATE("R9C",'Mapa final'!$Q$62),"")</f>
        <v/>
      </c>
      <c r="AB34" s="38" t="str">
        <f>IF(AND('Mapa final'!$AA$57="Media",'Mapa final'!$AC$57="Mayor"),CONCATENATE("R9C",'Mapa final'!$Q$57),"")</f>
        <v/>
      </c>
      <c r="AC34" s="39" t="str">
        <f>IF(AND('Mapa final'!$AA$58="Media",'Mapa final'!$AC$58="Mayor"),CONCATENATE("R9C",'Mapa final'!$Q$58),"")</f>
        <v/>
      </c>
      <c r="AD34" s="44" t="str">
        <f>IF(AND('Mapa final'!$AA$59="Media",'Mapa final'!$AC$59="Mayor"),CONCATENATE("R9C",'Mapa final'!$Q$59),"")</f>
        <v/>
      </c>
      <c r="AE34" s="44" t="str">
        <f>IF(AND('Mapa final'!$AA$60="Media",'Mapa final'!$AC$60="Mayor"),CONCATENATE("R9C",'Mapa final'!$Q$60),"")</f>
        <v/>
      </c>
      <c r="AF34" s="44" t="str">
        <f>IF(AND('Mapa final'!$AA$61="Media",'Mapa final'!$AC$61="Mayor"),CONCATENATE("R9C",'Mapa final'!$Q$61),"")</f>
        <v/>
      </c>
      <c r="AG34" s="40" t="str">
        <f>IF(AND('Mapa final'!$AA$62="Media",'Mapa final'!$AC$62="Mayor"),CONCATENATE("R9C",'Mapa final'!$Q$62),"")</f>
        <v/>
      </c>
      <c r="AH34" s="41" t="str">
        <f>IF(AND('Mapa final'!$AA$57="Media",'Mapa final'!$AC$57="Catastrófico"),CONCATENATE("R9C",'Mapa final'!$Q$57),"")</f>
        <v/>
      </c>
      <c r="AI34" s="42" t="str">
        <f>IF(AND('Mapa final'!$AA$58="Media",'Mapa final'!$AC$58="Catastrófico"),CONCATENATE("R9C",'Mapa final'!$Q$58),"")</f>
        <v/>
      </c>
      <c r="AJ34" s="42" t="str">
        <f>IF(AND('Mapa final'!$AA$59="Media",'Mapa final'!$AC$59="Catastrófico"),CONCATENATE("R9C",'Mapa final'!$Q$59),"")</f>
        <v/>
      </c>
      <c r="AK34" s="42" t="str">
        <f>IF(AND('Mapa final'!$AA$60="Media",'Mapa final'!$AC$60="Catastrófico"),CONCATENATE("R9C",'Mapa final'!$Q$60),"")</f>
        <v/>
      </c>
      <c r="AL34" s="42" t="str">
        <f>IF(AND('Mapa final'!$AA$61="Media",'Mapa final'!$AC$61="Catastrófico"),CONCATENATE("R9C",'Mapa final'!$Q$61),"")</f>
        <v/>
      </c>
      <c r="AM34" s="43" t="str">
        <f>IF(AND('Mapa final'!$AA$62="Media",'Mapa final'!$AC$62="Catastrófico"),CONCATENATE("R9C",'Mapa final'!$Q$62),"")</f>
        <v/>
      </c>
      <c r="AN34" s="70"/>
      <c r="AO34" s="371"/>
      <c r="AP34" s="372"/>
      <c r="AQ34" s="372"/>
      <c r="AR34" s="372"/>
      <c r="AS34" s="372"/>
      <c r="AT34" s="373"/>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89"/>
      <c r="C35" s="289"/>
      <c r="D35" s="290"/>
      <c r="E35" s="333"/>
      <c r="F35" s="334"/>
      <c r="G35" s="334"/>
      <c r="H35" s="334"/>
      <c r="I35" s="335"/>
      <c r="J35" s="54" t="str">
        <f>IF(AND('Mapa final'!$AA$63="Media",'Mapa final'!$AC$63="Leve"),CONCATENATE("R10C",'Mapa final'!$Q$63),"")</f>
        <v/>
      </c>
      <c r="K35" s="55" t="str">
        <f>IF(AND('Mapa final'!$AA$64="Media",'Mapa final'!$AC$64="Leve"),CONCATENATE("R10C",'Mapa final'!$Q$64),"")</f>
        <v/>
      </c>
      <c r="L35" s="55" t="str">
        <f>IF(AND('Mapa final'!$AA$65="Media",'Mapa final'!$AC$65="Leve"),CONCATENATE("R10C",'Mapa final'!$Q$65),"")</f>
        <v/>
      </c>
      <c r="M35" s="55" t="str">
        <f>IF(AND('Mapa final'!$AA$66="Media",'Mapa final'!$AC$66="Leve"),CONCATENATE("R10C",'Mapa final'!$Q$66),"")</f>
        <v/>
      </c>
      <c r="N35" s="55" t="str">
        <f>IF(AND('Mapa final'!$AA$67="Media",'Mapa final'!$AC$67="Leve"),CONCATENATE("R10C",'Mapa final'!$Q$67),"")</f>
        <v/>
      </c>
      <c r="O35" s="56" t="str">
        <f>IF(AND('Mapa final'!$AA$68="Media",'Mapa final'!$AC$68="Leve"),CONCATENATE("R10C",'Mapa final'!$Q$68),"")</f>
        <v/>
      </c>
      <c r="P35" s="54" t="str">
        <f>IF(AND('Mapa final'!$AA$63="Media",'Mapa final'!$AC$63="Menor"),CONCATENATE("R10C",'Mapa final'!$Q$63),"")</f>
        <v/>
      </c>
      <c r="Q35" s="55" t="str">
        <f>IF(AND('Mapa final'!$AA$64="Media",'Mapa final'!$AC$64="Menor"),CONCATENATE("R10C",'Mapa final'!$Q$64),"")</f>
        <v/>
      </c>
      <c r="R35" s="55" t="str">
        <f>IF(AND('Mapa final'!$AA$65="Media",'Mapa final'!$AC$65="Menor"),CONCATENATE("R10C",'Mapa final'!$Q$65),"")</f>
        <v/>
      </c>
      <c r="S35" s="55" t="str">
        <f>IF(AND('Mapa final'!$AA$66="Media",'Mapa final'!$AC$66="Menor"),CONCATENATE("R10C",'Mapa final'!$Q$66),"")</f>
        <v/>
      </c>
      <c r="T35" s="55" t="str">
        <f>IF(AND('Mapa final'!$AA$67="Media",'Mapa final'!$AC$67="Menor"),CONCATENATE("R10C",'Mapa final'!$Q$67),"")</f>
        <v/>
      </c>
      <c r="U35" s="56" t="str">
        <f>IF(AND('Mapa final'!$AA$68="Media",'Mapa final'!$AC$68="Menor"),CONCATENATE("R10C",'Mapa final'!$Q$68),"")</f>
        <v/>
      </c>
      <c r="V35" s="54" t="str">
        <f>IF(AND('Mapa final'!$AA$63="Media",'Mapa final'!$AC$63="Moderado"),CONCATENATE("R10C",'Mapa final'!$Q$63),"")</f>
        <v/>
      </c>
      <c r="W35" s="55" t="str">
        <f>IF(AND('Mapa final'!$AA$64="Media",'Mapa final'!$AC$64="Moderado"),CONCATENATE("R10C",'Mapa final'!$Q$64),"")</f>
        <v/>
      </c>
      <c r="X35" s="55" t="str">
        <f>IF(AND('Mapa final'!$AA$65="Media",'Mapa final'!$AC$65="Moderado"),CONCATENATE("R10C",'Mapa final'!$Q$65),"")</f>
        <v/>
      </c>
      <c r="Y35" s="55" t="str">
        <f>IF(AND('Mapa final'!$AA$66="Media",'Mapa final'!$AC$66="Moderado"),CONCATENATE("R10C",'Mapa final'!$Q$66),"")</f>
        <v/>
      </c>
      <c r="Z35" s="55" t="str">
        <f>IF(AND('Mapa final'!$AA$67="Media",'Mapa final'!$AC$67="Moderado"),CONCATENATE("R10C",'Mapa final'!$Q$67),"")</f>
        <v/>
      </c>
      <c r="AA35" s="56" t="str">
        <f>IF(AND('Mapa final'!$AA$68="Media",'Mapa final'!$AC$68="Moderado"),CONCATENATE("R10C",'Mapa final'!$Q$68),"")</f>
        <v/>
      </c>
      <c r="AB35" s="45" t="str">
        <f>IF(AND('Mapa final'!$AA$63="Media",'Mapa final'!$AC$63="Mayor"),CONCATENATE("R10C",'Mapa final'!$Q$63),"")</f>
        <v/>
      </c>
      <c r="AC35" s="46" t="str">
        <f>IF(AND('Mapa final'!$AA$64="Media",'Mapa final'!$AC$64="Mayor"),CONCATENATE("R10C",'Mapa final'!$Q$64),"")</f>
        <v/>
      </c>
      <c r="AD35" s="46" t="str">
        <f>IF(AND('Mapa final'!$AA$65="Media",'Mapa final'!$AC$65="Mayor"),CONCATENATE("R10C",'Mapa final'!$Q$65),"")</f>
        <v/>
      </c>
      <c r="AE35" s="46" t="str">
        <f>IF(AND('Mapa final'!$AA$66="Media",'Mapa final'!$AC$66="Mayor"),CONCATENATE("R10C",'Mapa final'!$Q$66),"")</f>
        <v/>
      </c>
      <c r="AF35" s="46" t="str">
        <f>IF(AND('Mapa final'!$AA$67="Media",'Mapa final'!$AC$67="Mayor"),CONCATENATE("R10C",'Mapa final'!$Q$67),"")</f>
        <v/>
      </c>
      <c r="AG35" s="47" t="str">
        <f>IF(AND('Mapa final'!$AA$68="Media",'Mapa final'!$AC$68="Mayor"),CONCATENATE("R10C",'Mapa final'!$Q$68),"")</f>
        <v/>
      </c>
      <c r="AH35" s="48" t="str">
        <f>IF(AND('Mapa final'!$AA$63="Media",'Mapa final'!$AC$63="Catastrófico"),CONCATENATE("R10C",'Mapa final'!$Q$63),"")</f>
        <v/>
      </c>
      <c r="AI35" s="49" t="str">
        <f>IF(AND('Mapa final'!$AA$64="Media",'Mapa final'!$AC$64="Catastrófico"),CONCATENATE("R10C",'Mapa final'!$Q$64),"")</f>
        <v/>
      </c>
      <c r="AJ35" s="49" t="str">
        <f>IF(AND('Mapa final'!$AA$65="Media",'Mapa final'!$AC$65="Catastrófico"),CONCATENATE("R10C",'Mapa final'!$Q$65),"")</f>
        <v/>
      </c>
      <c r="AK35" s="49" t="str">
        <f>IF(AND('Mapa final'!$AA$66="Media",'Mapa final'!$AC$66="Catastrófico"),CONCATENATE("R10C",'Mapa final'!$Q$66),"")</f>
        <v/>
      </c>
      <c r="AL35" s="49" t="str">
        <f>IF(AND('Mapa final'!$AA$67="Media",'Mapa final'!$AC$67="Catastrófico"),CONCATENATE("R10C",'Mapa final'!$Q$67),"")</f>
        <v/>
      </c>
      <c r="AM35" s="50" t="str">
        <f>IF(AND('Mapa final'!$AA$68="Media",'Mapa final'!$AC$68="Catastrófico"),CONCATENATE("R10C",'Mapa final'!$Q$68),"")</f>
        <v/>
      </c>
      <c r="AN35" s="70"/>
      <c r="AO35" s="374"/>
      <c r="AP35" s="375"/>
      <c r="AQ35" s="375"/>
      <c r="AR35" s="375"/>
      <c r="AS35" s="375"/>
      <c r="AT35" s="376"/>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89"/>
      <c r="C36" s="289"/>
      <c r="D36" s="290"/>
      <c r="E36" s="327" t="s">
        <v>110</v>
      </c>
      <c r="F36" s="328"/>
      <c r="G36" s="328"/>
      <c r="H36" s="328"/>
      <c r="I36" s="328"/>
      <c r="J36" s="60" t="str">
        <f>IF(AND('Mapa final'!$AA$9="Baja",'Mapa final'!$AC$9="Leve"),CONCATENATE("R1C",'Mapa final'!$Q$9),"")</f>
        <v/>
      </c>
      <c r="K36" s="61" t="str">
        <f>IF(AND('Mapa final'!$AA$10="Baja",'Mapa final'!$AC$10="Leve"),CONCATENATE("R1C",'Mapa final'!$Q$10),"")</f>
        <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IF(AND('Mapa final'!$AA$9="Baja",'Mapa final'!$AC$9="Menor"),CONCATENATE("R1C",'Mapa final'!$Q$9),"")</f>
        <v/>
      </c>
      <c r="Q36" s="52" t="str">
        <f>IF(AND('Mapa final'!$AA$10="Baja",'Mapa final'!$AC$10="Menor"),CONCATENATE("R1C",'Mapa final'!$Q$10),"")</f>
        <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IF(AND('Mapa final'!$AA$9="Baja",'Mapa final'!$AC$9="Moderado"),CONCATENATE("R1C",'Mapa final'!$Q$9),"")</f>
        <v/>
      </c>
      <c r="W36" s="52" t="str">
        <f>IF(AND('Mapa final'!$AA$10="Baja",'Mapa final'!$AC$10="Moderado"),CONCATENATE("R1C",'Mapa final'!$Q$10),"")</f>
        <v/>
      </c>
      <c r="X36" s="52" t="str">
        <f>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IF(AND('Mapa final'!$AA$9="Baja",'Mapa final'!$AC$9="Mayor"),CONCATENATE("R1C",'Mapa final'!$Q$9),"")</f>
        <v>R1C1</v>
      </c>
      <c r="AC36" s="33" t="str">
        <f>IF(AND('Mapa final'!$AA$10="Baja",'Mapa final'!$AC$10="Mayor"),CONCATENATE("R1C",'Mapa final'!$Q$10),"")</f>
        <v>R1C2</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IF(AND('Mapa final'!$AA$9="Baja",'Mapa final'!$AC$9="Catastrófico"),CONCATENATE("R1C",'Mapa final'!$Q$9),"")</f>
        <v/>
      </c>
      <c r="AI36" s="36" t="str">
        <f>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59" t="s">
        <v>78</v>
      </c>
      <c r="AP36" s="360"/>
      <c r="AQ36" s="360"/>
      <c r="AR36" s="360"/>
      <c r="AS36" s="360"/>
      <c r="AT36" s="361"/>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89"/>
      <c r="C37" s="289"/>
      <c r="D37" s="290"/>
      <c r="E37" s="346"/>
      <c r="F37" s="347"/>
      <c r="G37" s="347"/>
      <c r="H37" s="347"/>
      <c r="I37" s="347"/>
      <c r="J37" s="63" t="str">
        <f>IF(AND('Mapa final'!$AA$15="Baja",'Mapa final'!$AC$15="Leve"),CONCATENATE("R2C",'Mapa final'!$Q$15),"")</f>
        <v/>
      </c>
      <c r="K37" s="64" t="str">
        <f>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IF(AND('Mapa final'!$AA$15="Baja",'Mapa final'!$AC$15="Menor"),CONCATENATE("R2C",'Mapa final'!$Q$15),"")</f>
        <v/>
      </c>
      <c r="Q37" s="55" t="str">
        <f>IF(AND('Mapa final'!$AA$16="Baja",'Mapa final'!$AC$16="Menor"),CONCATENATE("R2C",'Mapa final'!$Q$16),"")</f>
        <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IF(AND('Mapa final'!$AA$15="Baja",'Mapa final'!$AC$15="Moderado"),CONCATENATE("R2C",'Mapa final'!$Q$15),"")</f>
        <v/>
      </c>
      <c r="W37" s="55" t="str">
        <f>IF(AND('Mapa final'!$AA$16="Baja",'Mapa final'!$AC$16="Moderado"),CONCATENATE("R2C",'Mapa final'!$Q$16),"")</f>
        <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IF(AND('Mapa final'!$AA$15="Baja",'Mapa final'!$AC$15="Mayor"),CONCATENATE("R2C",'Mapa final'!$Q$15),"")</f>
        <v/>
      </c>
      <c r="AC37" s="39" t="str">
        <f>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IF(AND('Mapa final'!$AA$15="Baja",'Mapa final'!$AC$15="Catastrófico"),CONCATENATE("R2C",'Mapa final'!$Q$15),"")</f>
        <v/>
      </c>
      <c r="AI37" s="42" t="str">
        <f>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62"/>
      <c r="AP37" s="363"/>
      <c r="AQ37" s="363"/>
      <c r="AR37" s="363"/>
      <c r="AS37" s="363"/>
      <c r="AT37" s="364"/>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89"/>
      <c r="C38" s="289"/>
      <c r="D38" s="290"/>
      <c r="E38" s="330"/>
      <c r="F38" s="331"/>
      <c r="G38" s="331"/>
      <c r="H38" s="331"/>
      <c r="I38" s="347"/>
      <c r="J38" s="63" t="str">
        <f>IF(AND('Mapa final'!$AA$21="Baja",'Mapa final'!$AC$21="Leve"),CONCATENATE("R3C",'Mapa final'!$Q$21),"")</f>
        <v/>
      </c>
      <c r="K38" s="64" t="str">
        <f>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IF(AND('Mapa final'!$AA$21="Baja",'Mapa final'!$AC$21="Menor"),CONCATENATE("R3C",'Mapa final'!$Q$21),"")</f>
        <v/>
      </c>
      <c r="Q38" s="55" t="str">
        <f>IF(AND('Mapa final'!$AA$22="Baja",'Mapa final'!$AC$22="Menor"),CONCATENATE("R3C",'Mapa final'!$Q$22),"")</f>
        <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IF(AND('Mapa final'!$AA$21="Baja",'Mapa final'!$AC$21="Moderado"),CONCATENATE("R3C",'Mapa final'!$Q$21),"")</f>
        <v/>
      </c>
      <c r="W38" s="55" t="str">
        <f>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IF(AND('Mapa final'!$AA$21="Baja",'Mapa final'!$AC$21="Mayor"),CONCATENATE("R3C",'Mapa final'!$Q$21),"")</f>
        <v/>
      </c>
      <c r="AC38" s="39" t="str">
        <f>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IF(AND('Mapa final'!$AA$21="Baja",'Mapa final'!$AC$21="Catastrófico"),CONCATENATE("R3C",'Mapa final'!$Q$21),"")</f>
        <v/>
      </c>
      <c r="AI38" s="42" t="str">
        <f>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62"/>
      <c r="AP38" s="363"/>
      <c r="AQ38" s="363"/>
      <c r="AR38" s="363"/>
      <c r="AS38" s="363"/>
      <c r="AT38" s="364"/>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89"/>
      <c r="C39" s="289"/>
      <c r="D39" s="290"/>
      <c r="E39" s="330"/>
      <c r="F39" s="331"/>
      <c r="G39" s="331"/>
      <c r="H39" s="331"/>
      <c r="I39" s="347"/>
      <c r="J39" s="63" t="str">
        <f>IF(AND('Mapa final'!$AA$27="Baja",'Mapa final'!$AC$27="Leve"),CONCATENATE("R4C",'Mapa final'!$Q$27),"")</f>
        <v/>
      </c>
      <c r="K39" s="64" t="str">
        <f>IF(AND('Mapa final'!$AA$28="Baja",'Mapa final'!$AC$28="Leve"),CONCATENATE("R4C",'Mapa final'!$Q$28),"")</f>
        <v/>
      </c>
      <c r="L39" s="64" t="str">
        <f>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IF(AND('Mapa final'!$AA$27="Baja",'Mapa final'!$AC$27="Menor"),CONCATENATE("R4C",'Mapa final'!$Q$27),"")</f>
        <v/>
      </c>
      <c r="Q39" s="55" t="str">
        <f>IF(AND('Mapa final'!$AA$28="Baja",'Mapa final'!$AC$28="Menor"),CONCATENATE("R4C",'Mapa final'!$Q$28),"")</f>
        <v/>
      </c>
      <c r="R39" s="55" t="str">
        <f>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IF(AND('Mapa final'!$AA$27="Baja",'Mapa final'!$AC$27="Moderado"),CONCATENATE("R4C",'Mapa final'!$Q$27),"")</f>
        <v/>
      </c>
      <c r="W39" s="55" t="str">
        <f>IF(AND('Mapa final'!$AA$28="Baja",'Mapa final'!$AC$28="Moderado"),CONCATENATE("R4C",'Mapa final'!$Q$28),"")</f>
        <v/>
      </c>
      <c r="X39" s="55" t="str">
        <f>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IF(AND('Mapa final'!$AA$27="Baja",'Mapa final'!$AC$27="Mayor"),CONCATENATE("R4C",'Mapa final'!$Q$27),"")</f>
        <v/>
      </c>
      <c r="AC39" s="39" t="str">
        <f>IF(AND('Mapa final'!$AA$28="Baja",'Mapa final'!$AC$28="Mayor"),CONCATENATE("R4C",'Mapa final'!$Q$28),"")</f>
        <v/>
      </c>
      <c r="AD39" s="39" t="str">
        <f>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IF(AND('Mapa final'!$AA$27="Baja",'Mapa final'!$AC$27="Catastrófico"),CONCATENATE("R4C",'Mapa final'!$Q$27),"")</f>
        <v/>
      </c>
      <c r="AI39" s="42" t="str">
        <f>IF(AND('Mapa final'!$AA$28="Baja",'Mapa final'!$AC$28="Catastrófico"),CONCATENATE("R4C",'Mapa final'!$Q$28),"")</f>
        <v/>
      </c>
      <c r="AJ39" s="42" t="str">
        <f>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62"/>
      <c r="AP39" s="363"/>
      <c r="AQ39" s="363"/>
      <c r="AR39" s="363"/>
      <c r="AS39" s="363"/>
      <c r="AT39" s="364"/>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89"/>
      <c r="C40" s="289"/>
      <c r="D40" s="290"/>
      <c r="E40" s="330"/>
      <c r="F40" s="331"/>
      <c r="G40" s="331"/>
      <c r="H40" s="331"/>
      <c r="I40" s="347"/>
      <c r="J40" s="63" t="str">
        <f>IF(AND('Mapa final'!$AA$33="Baja",'Mapa final'!$AC$33="Leve"),CONCATENATE("R5C",'Mapa final'!$Q$33),"")</f>
        <v/>
      </c>
      <c r="K40" s="64" t="str">
        <f>IF(AND('Mapa final'!$AA$34="Baja",'Mapa final'!$AC$34="Leve"),CONCATENATE("R5C",'Mapa final'!$Q$34),"")</f>
        <v/>
      </c>
      <c r="L40" s="64" t="str">
        <f>IF(AND('Mapa final'!$AA$35="Baja",'Mapa final'!$AC$35="Leve"),CONCATENATE("R5C",'Mapa final'!$Q$35),"")</f>
        <v/>
      </c>
      <c r="M40" s="64" t="str">
        <f>IF(AND('Mapa final'!$AA$36="Baja",'Mapa final'!$AC$36="Leve"),CONCATENATE("R5C",'Mapa final'!$Q$36),"")</f>
        <v/>
      </c>
      <c r="N40" s="64" t="str">
        <f>IF(AND('Mapa final'!$AA$37="Baja",'Mapa final'!$AC$37="Leve"),CONCATENATE("R5C",'Mapa final'!$Q$37),"")</f>
        <v/>
      </c>
      <c r="O40" s="65" t="str">
        <f>IF(AND('Mapa final'!$AA$38="Baja",'Mapa final'!$AC$38="Leve"),CONCATENATE("R5C",'Mapa final'!$Q$38),"")</f>
        <v/>
      </c>
      <c r="P40" s="54" t="str">
        <f>IF(AND('Mapa final'!$AA$33="Baja",'Mapa final'!$AC$33="Menor"),CONCATENATE("R5C",'Mapa final'!$Q$33),"")</f>
        <v/>
      </c>
      <c r="Q40" s="55" t="str">
        <f>IF(AND('Mapa final'!$AA$34="Baja",'Mapa final'!$AC$34="Menor"),CONCATENATE("R5C",'Mapa final'!$Q$34),"")</f>
        <v/>
      </c>
      <c r="R40" s="55" t="str">
        <f>IF(AND('Mapa final'!$AA$35="Baja",'Mapa final'!$AC$35="Menor"),CONCATENATE("R5C",'Mapa final'!$Q$35),"")</f>
        <v/>
      </c>
      <c r="S40" s="55" t="str">
        <f>IF(AND('Mapa final'!$AA$36="Baja",'Mapa final'!$AC$36="Menor"),CONCATENATE("R5C",'Mapa final'!$Q$36),"")</f>
        <v/>
      </c>
      <c r="T40" s="55" t="str">
        <f>IF(AND('Mapa final'!$AA$37="Baja",'Mapa final'!$AC$37="Menor"),CONCATENATE("R5C",'Mapa final'!$Q$37),"")</f>
        <v/>
      </c>
      <c r="U40" s="56" t="str">
        <f>IF(AND('Mapa final'!$AA$38="Baja",'Mapa final'!$AC$38="Menor"),CONCATENATE("R5C",'Mapa final'!$Q$38),"")</f>
        <v/>
      </c>
      <c r="V40" s="54" t="str">
        <f>IF(AND('Mapa final'!$AA$33="Baja",'Mapa final'!$AC$33="Moderado"),CONCATENATE("R5C",'Mapa final'!$Q$33),"")</f>
        <v/>
      </c>
      <c r="W40" s="55" t="str">
        <f>IF(AND('Mapa final'!$AA$34="Baja",'Mapa final'!$AC$34="Moderado"),CONCATENATE("R5C",'Mapa final'!$Q$34),"")</f>
        <v/>
      </c>
      <c r="X40" s="55" t="str">
        <f>IF(AND('Mapa final'!$AA$35="Baja",'Mapa final'!$AC$35="Moderado"),CONCATENATE("R5C",'Mapa final'!$Q$35),"")</f>
        <v/>
      </c>
      <c r="Y40" s="55" t="str">
        <f>IF(AND('Mapa final'!$AA$36="Baja",'Mapa final'!$AC$36="Moderado"),CONCATENATE("R5C",'Mapa final'!$Q$36),"")</f>
        <v/>
      </c>
      <c r="Z40" s="55" t="str">
        <f>IF(AND('Mapa final'!$AA$37="Baja",'Mapa final'!$AC$37="Moderado"),CONCATENATE("R5C",'Mapa final'!$Q$37),"")</f>
        <v/>
      </c>
      <c r="AA40" s="56" t="str">
        <f>IF(AND('Mapa final'!$AA$38="Baja",'Mapa final'!$AC$38="Moderado"),CONCATENATE("R5C",'Mapa final'!$Q$38),"")</f>
        <v/>
      </c>
      <c r="AB40" s="38" t="str">
        <f>IF(AND('Mapa final'!$AA$33="Baja",'Mapa final'!$AC$33="Mayor"),CONCATENATE("R5C",'Mapa final'!$Q$33),"")</f>
        <v/>
      </c>
      <c r="AC40" s="39" t="str">
        <f>IF(AND('Mapa final'!$AA$34="Baja",'Mapa final'!$AC$34="Mayor"),CONCATENATE("R5C",'Mapa final'!$Q$34),"")</f>
        <v/>
      </c>
      <c r="AD40" s="44" t="str">
        <f>IF(AND('Mapa final'!$AA$35="Baja",'Mapa final'!$AC$35="Mayor"),CONCATENATE("R5C",'Mapa final'!$Q$35),"")</f>
        <v/>
      </c>
      <c r="AE40" s="44" t="str">
        <f>IF(AND('Mapa final'!$AA$36="Baja",'Mapa final'!$AC$36="Mayor"),CONCATENATE("R5C",'Mapa final'!$Q$36),"")</f>
        <v/>
      </c>
      <c r="AF40" s="44" t="str">
        <f>IF(AND('Mapa final'!$AA$37="Baja",'Mapa final'!$AC$37="Mayor"),CONCATENATE("R5C",'Mapa final'!$Q$37),"")</f>
        <v/>
      </c>
      <c r="AG40" s="40" t="str">
        <f>IF(AND('Mapa final'!$AA$38="Baja",'Mapa final'!$AC$38="Mayor"),CONCATENATE("R5C",'Mapa final'!$Q$38),"")</f>
        <v/>
      </c>
      <c r="AH40" s="41" t="str">
        <f>IF(AND('Mapa final'!$AA$33="Baja",'Mapa final'!$AC$33="Catastrófico"),CONCATENATE("R5C",'Mapa final'!$Q$33),"")</f>
        <v/>
      </c>
      <c r="AI40" s="42" t="str">
        <f>IF(AND('Mapa final'!$AA$34="Baja",'Mapa final'!$AC$34="Catastrófico"),CONCATENATE("R5C",'Mapa final'!$Q$34),"")</f>
        <v/>
      </c>
      <c r="AJ40" s="42" t="str">
        <f>IF(AND('Mapa final'!$AA$35="Baja",'Mapa final'!$AC$35="Catastrófico"),CONCATENATE("R5C",'Mapa final'!$Q$35),"")</f>
        <v/>
      </c>
      <c r="AK40" s="42" t="str">
        <f>IF(AND('Mapa final'!$AA$36="Baja",'Mapa final'!$AC$36="Catastrófico"),CONCATENATE("R5C",'Mapa final'!$Q$36),"")</f>
        <v/>
      </c>
      <c r="AL40" s="42" t="str">
        <f>IF(AND('Mapa final'!$AA$37="Baja",'Mapa final'!$AC$37="Catastrófico"),CONCATENATE("R5C",'Mapa final'!$Q$37),"")</f>
        <v/>
      </c>
      <c r="AM40" s="43" t="str">
        <f>IF(AND('Mapa final'!$AA$38="Baja",'Mapa final'!$AC$38="Catastrófico"),CONCATENATE("R5C",'Mapa final'!$Q$38),"")</f>
        <v/>
      </c>
      <c r="AN40" s="70"/>
      <c r="AO40" s="362"/>
      <c r="AP40" s="363"/>
      <c r="AQ40" s="363"/>
      <c r="AR40" s="363"/>
      <c r="AS40" s="363"/>
      <c r="AT40" s="364"/>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89"/>
      <c r="C41" s="289"/>
      <c r="D41" s="290"/>
      <c r="E41" s="330"/>
      <c r="F41" s="331"/>
      <c r="G41" s="331"/>
      <c r="H41" s="331"/>
      <c r="I41" s="347"/>
      <c r="J41" s="63" t="str">
        <f>IF(AND('Mapa final'!$AA$39="Baja",'Mapa final'!$AC$39="Leve"),CONCATENATE("R6C",'Mapa final'!$Q$39),"")</f>
        <v/>
      </c>
      <c r="K41" s="64" t="str">
        <f>IF(AND('Mapa final'!$AA$40="Baja",'Mapa final'!$AC$40="Leve"),CONCATENATE("R6C",'Mapa final'!$Q$40),"")</f>
        <v/>
      </c>
      <c r="L41" s="64" t="str">
        <f>IF(AND('Mapa final'!$AA$41="Baja",'Mapa final'!$AC$41="Leve"),CONCATENATE("R6C",'Mapa final'!$Q$41),"")</f>
        <v/>
      </c>
      <c r="M41" s="64" t="str">
        <f>IF(AND('Mapa final'!$AA$42="Baja",'Mapa final'!$AC$42="Leve"),CONCATENATE("R6C",'Mapa final'!$Q$42),"")</f>
        <v/>
      </c>
      <c r="N41" s="64" t="str">
        <f>IF(AND('Mapa final'!$AA$43="Baja",'Mapa final'!$AC$43="Leve"),CONCATENATE("R6C",'Mapa final'!$Q$43),"")</f>
        <v/>
      </c>
      <c r="O41" s="65" t="str">
        <f>IF(AND('Mapa final'!$AA$44="Baja",'Mapa final'!$AC$44="Leve"),CONCATENATE("R6C",'Mapa final'!$Q$44),"")</f>
        <v/>
      </c>
      <c r="P41" s="54" t="str">
        <f>IF(AND('Mapa final'!$AA$39="Baja",'Mapa final'!$AC$39="Menor"),CONCATENATE("R6C",'Mapa final'!$Q$39),"")</f>
        <v/>
      </c>
      <c r="Q41" s="55" t="str">
        <f>IF(AND('Mapa final'!$AA$40="Baja",'Mapa final'!$AC$40="Menor"),CONCATENATE("R6C",'Mapa final'!$Q$40),"")</f>
        <v/>
      </c>
      <c r="R41" s="55" t="str">
        <f>IF(AND('Mapa final'!$AA$41="Baja",'Mapa final'!$AC$41="Menor"),CONCATENATE("R6C",'Mapa final'!$Q$41),"")</f>
        <v/>
      </c>
      <c r="S41" s="55" t="str">
        <f>IF(AND('Mapa final'!$AA$42="Baja",'Mapa final'!$AC$42="Menor"),CONCATENATE("R6C",'Mapa final'!$Q$42),"")</f>
        <v/>
      </c>
      <c r="T41" s="55" t="str">
        <f>IF(AND('Mapa final'!$AA$43="Baja",'Mapa final'!$AC$43="Menor"),CONCATENATE("R6C",'Mapa final'!$Q$43),"")</f>
        <v/>
      </c>
      <c r="U41" s="56" t="str">
        <f>IF(AND('Mapa final'!$AA$44="Baja",'Mapa final'!$AC$44="Menor"),CONCATENATE("R6C",'Mapa final'!$Q$44),"")</f>
        <v/>
      </c>
      <c r="V41" s="54" t="str">
        <f>IF(AND('Mapa final'!$AA$39="Baja",'Mapa final'!$AC$39="Moderado"),CONCATENATE("R6C",'Mapa final'!$Q$39),"")</f>
        <v/>
      </c>
      <c r="W41" s="55" t="str">
        <f>IF(AND('Mapa final'!$AA$40="Baja",'Mapa final'!$AC$40="Moderado"),CONCATENATE("R6C",'Mapa final'!$Q$40),"")</f>
        <v/>
      </c>
      <c r="X41" s="55" t="str">
        <f>IF(AND('Mapa final'!$AA$41="Baja",'Mapa final'!$AC$41="Moderado"),CONCATENATE("R6C",'Mapa final'!$Q$41),"")</f>
        <v/>
      </c>
      <c r="Y41" s="55" t="str">
        <f>IF(AND('Mapa final'!$AA$42="Baja",'Mapa final'!$AC$42="Moderado"),CONCATENATE("R6C",'Mapa final'!$Q$42),"")</f>
        <v/>
      </c>
      <c r="Z41" s="55" t="str">
        <f>IF(AND('Mapa final'!$AA$43="Baja",'Mapa final'!$AC$43="Moderado"),CONCATENATE("R6C",'Mapa final'!$Q$43),"")</f>
        <v/>
      </c>
      <c r="AA41" s="56" t="str">
        <f>IF(AND('Mapa final'!$AA$44="Baja",'Mapa final'!$AC$44="Moderado"),CONCATENATE("R6C",'Mapa final'!$Q$44),"")</f>
        <v/>
      </c>
      <c r="AB41" s="38" t="str">
        <f>IF(AND('Mapa final'!$AA$39="Baja",'Mapa final'!$AC$39="Mayor"),CONCATENATE("R6C",'Mapa final'!$Q$39),"")</f>
        <v/>
      </c>
      <c r="AC41" s="39" t="str">
        <f>IF(AND('Mapa final'!$AA$40="Baja",'Mapa final'!$AC$40="Mayor"),CONCATENATE("R6C",'Mapa final'!$Q$40),"")</f>
        <v/>
      </c>
      <c r="AD41" s="44" t="str">
        <f>IF(AND('Mapa final'!$AA$41="Baja",'Mapa final'!$AC$41="Mayor"),CONCATENATE("R6C",'Mapa final'!$Q$41),"")</f>
        <v/>
      </c>
      <c r="AE41" s="44" t="str">
        <f>IF(AND('Mapa final'!$AA$42="Baja",'Mapa final'!$AC$42="Mayor"),CONCATENATE("R6C",'Mapa final'!$Q$42),"")</f>
        <v/>
      </c>
      <c r="AF41" s="44" t="str">
        <f>IF(AND('Mapa final'!$AA$43="Baja",'Mapa final'!$AC$43="Mayor"),CONCATENATE("R6C",'Mapa final'!$Q$43),"")</f>
        <v/>
      </c>
      <c r="AG41" s="40" t="str">
        <f>IF(AND('Mapa final'!$AA$44="Baja",'Mapa final'!$AC$44="Mayor"),CONCATENATE("R6C",'Mapa final'!$Q$44),"")</f>
        <v/>
      </c>
      <c r="AH41" s="41" t="str">
        <f>IF(AND('Mapa final'!$AA$39="Baja",'Mapa final'!$AC$39="Catastrófico"),CONCATENATE("R6C",'Mapa final'!$Q$39),"")</f>
        <v/>
      </c>
      <c r="AI41" s="42" t="str">
        <f>IF(AND('Mapa final'!$AA$40="Baja",'Mapa final'!$AC$40="Catastrófico"),CONCATENATE("R6C",'Mapa final'!$Q$40),"")</f>
        <v/>
      </c>
      <c r="AJ41" s="42" t="str">
        <f>IF(AND('Mapa final'!$AA$41="Baja",'Mapa final'!$AC$41="Catastrófico"),CONCATENATE("R6C",'Mapa final'!$Q$41),"")</f>
        <v/>
      </c>
      <c r="AK41" s="42" t="str">
        <f>IF(AND('Mapa final'!$AA$42="Baja",'Mapa final'!$AC$42="Catastrófico"),CONCATENATE("R6C",'Mapa final'!$Q$42),"")</f>
        <v/>
      </c>
      <c r="AL41" s="42" t="str">
        <f>IF(AND('Mapa final'!$AA$43="Baja",'Mapa final'!$AC$43="Catastrófico"),CONCATENATE("R6C",'Mapa final'!$Q$43),"")</f>
        <v/>
      </c>
      <c r="AM41" s="43" t="str">
        <f>IF(AND('Mapa final'!$AA$44="Baja",'Mapa final'!$AC$44="Catastrófico"),CONCATENATE("R6C",'Mapa final'!$Q$44),"")</f>
        <v/>
      </c>
      <c r="AN41" s="70"/>
      <c r="AO41" s="362"/>
      <c r="AP41" s="363"/>
      <c r="AQ41" s="363"/>
      <c r="AR41" s="363"/>
      <c r="AS41" s="363"/>
      <c r="AT41" s="364"/>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89"/>
      <c r="C42" s="289"/>
      <c r="D42" s="290"/>
      <c r="E42" s="330"/>
      <c r="F42" s="331"/>
      <c r="G42" s="331"/>
      <c r="H42" s="331"/>
      <c r="I42" s="347"/>
      <c r="J42" s="63" t="str">
        <f>IF(AND('Mapa final'!$AA$45="Baja",'Mapa final'!$AC$45="Leve"),CONCATENATE("R7C",'Mapa final'!$Q$45),"")</f>
        <v/>
      </c>
      <c r="K42" s="64" t="str">
        <f>IF(AND('Mapa final'!$AA$46="Baja",'Mapa final'!$AC$46="Leve"),CONCATENATE("R7C",'Mapa final'!$Q$46),"")</f>
        <v/>
      </c>
      <c r="L42" s="64" t="str">
        <f>IF(AND('Mapa final'!$AA$47="Baja",'Mapa final'!$AC$47="Leve"),CONCATENATE("R7C",'Mapa final'!$Q$47),"")</f>
        <v/>
      </c>
      <c r="M42" s="64" t="str">
        <f>IF(AND('Mapa final'!$AA$48="Baja",'Mapa final'!$AC$48="Leve"),CONCATENATE("R7C",'Mapa final'!$Q$48),"")</f>
        <v/>
      </c>
      <c r="N42" s="64" t="str">
        <f>IF(AND('Mapa final'!$AA$49="Baja",'Mapa final'!$AC$49="Leve"),CONCATENATE("R7C",'Mapa final'!$Q$49),"")</f>
        <v/>
      </c>
      <c r="O42" s="65" t="str">
        <f>IF(AND('Mapa final'!$AA$50="Baja",'Mapa final'!$AC$50="Leve"),CONCATENATE("R7C",'Mapa final'!$Q$50),"")</f>
        <v/>
      </c>
      <c r="P42" s="54" t="str">
        <f>IF(AND('Mapa final'!$AA$45="Baja",'Mapa final'!$AC$45="Menor"),CONCATENATE("R7C",'Mapa final'!$Q$45),"")</f>
        <v/>
      </c>
      <c r="Q42" s="55" t="str">
        <f>IF(AND('Mapa final'!$AA$46="Baja",'Mapa final'!$AC$46="Menor"),CONCATENATE("R7C",'Mapa final'!$Q$46),"")</f>
        <v/>
      </c>
      <c r="R42" s="55" t="str">
        <f>IF(AND('Mapa final'!$AA$47="Baja",'Mapa final'!$AC$47="Menor"),CONCATENATE("R7C",'Mapa final'!$Q$47),"")</f>
        <v/>
      </c>
      <c r="S42" s="55" t="str">
        <f>IF(AND('Mapa final'!$AA$48="Baja",'Mapa final'!$AC$48="Menor"),CONCATENATE("R7C",'Mapa final'!$Q$48),"")</f>
        <v/>
      </c>
      <c r="T42" s="55" t="str">
        <f>IF(AND('Mapa final'!$AA$49="Baja",'Mapa final'!$AC$49="Menor"),CONCATENATE("R7C",'Mapa final'!$Q$49),"")</f>
        <v/>
      </c>
      <c r="U42" s="56" t="str">
        <f>IF(AND('Mapa final'!$AA$50="Baja",'Mapa final'!$AC$50="Menor"),CONCATENATE("R7C",'Mapa final'!$Q$50),"")</f>
        <v/>
      </c>
      <c r="V42" s="54" t="str">
        <f>IF(AND('Mapa final'!$AA$45="Baja",'Mapa final'!$AC$45="Moderado"),CONCATENATE("R7C",'Mapa final'!$Q$45),"")</f>
        <v/>
      </c>
      <c r="W42" s="55" t="str">
        <f>IF(AND('Mapa final'!$AA$46="Baja",'Mapa final'!$AC$46="Moderado"),CONCATENATE("R7C",'Mapa final'!$Q$46),"")</f>
        <v/>
      </c>
      <c r="X42" s="55" t="str">
        <f>IF(AND('Mapa final'!$AA$47="Baja",'Mapa final'!$AC$47="Moderado"),CONCATENATE("R7C",'Mapa final'!$Q$47),"")</f>
        <v/>
      </c>
      <c r="Y42" s="55" t="str">
        <f>IF(AND('Mapa final'!$AA$48="Baja",'Mapa final'!$AC$48="Moderado"),CONCATENATE("R7C",'Mapa final'!$Q$48),"")</f>
        <v/>
      </c>
      <c r="Z42" s="55" t="str">
        <f>IF(AND('Mapa final'!$AA$49="Baja",'Mapa final'!$AC$49="Moderado"),CONCATENATE("R7C",'Mapa final'!$Q$49),"")</f>
        <v/>
      </c>
      <c r="AA42" s="56" t="str">
        <f>IF(AND('Mapa final'!$AA$50="Baja",'Mapa final'!$AC$50="Moderado"),CONCATENATE("R7C",'Mapa final'!$Q$50),"")</f>
        <v/>
      </c>
      <c r="AB42" s="38" t="str">
        <f>IF(AND('Mapa final'!$AA$45="Baja",'Mapa final'!$AC$45="Mayor"),CONCATENATE("R7C",'Mapa final'!$Q$45),"")</f>
        <v/>
      </c>
      <c r="AC42" s="39" t="str">
        <f>IF(AND('Mapa final'!$AA$46="Baja",'Mapa final'!$AC$46="Mayor"),CONCATENATE("R7C",'Mapa final'!$Q$46),"")</f>
        <v/>
      </c>
      <c r="AD42" s="44" t="str">
        <f>IF(AND('Mapa final'!$AA$47="Baja",'Mapa final'!$AC$47="Mayor"),CONCATENATE("R7C",'Mapa final'!$Q$47),"")</f>
        <v/>
      </c>
      <c r="AE42" s="44" t="str">
        <f>IF(AND('Mapa final'!$AA$48="Baja",'Mapa final'!$AC$48="Mayor"),CONCATENATE("R7C",'Mapa final'!$Q$48),"")</f>
        <v/>
      </c>
      <c r="AF42" s="44" t="str">
        <f>IF(AND('Mapa final'!$AA$49="Baja",'Mapa final'!$AC$49="Mayor"),CONCATENATE("R7C",'Mapa final'!$Q$49),"")</f>
        <v/>
      </c>
      <c r="AG42" s="40" t="str">
        <f>IF(AND('Mapa final'!$AA$50="Baja",'Mapa final'!$AC$50="Mayor"),CONCATENATE("R7C",'Mapa final'!$Q$50),"")</f>
        <v/>
      </c>
      <c r="AH42" s="41" t="str">
        <f>IF(AND('Mapa final'!$AA$45="Baja",'Mapa final'!$AC$45="Catastrófico"),CONCATENATE("R7C",'Mapa final'!$Q$45),"")</f>
        <v/>
      </c>
      <c r="AI42" s="42" t="str">
        <f>IF(AND('Mapa final'!$AA$46="Baja",'Mapa final'!$AC$46="Catastrófico"),CONCATENATE("R7C",'Mapa final'!$Q$46),"")</f>
        <v/>
      </c>
      <c r="AJ42" s="42" t="str">
        <f>IF(AND('Mapa final'!$AA$47="Baja",'Mapa final'!$AC$47="Catastrófico"),CONCATENATE("R7C",'Mapa final'!$Q$47),"")</f>
        <v/>
      </c>
      <c r="AK42" s="42" t="str">
        <f>IF(AND('Mapa final'!$AA$48="Baja",'Mapa final'!$AC$48="Catastrófico"),CONCATENATE("R7C",'Mapa final'!$Q$48),"")</f>
        <v/>
      </c>
      <c r="AL42" s="42" t="str">
        <f>IF(AND('Mapa final'!$AA$49="Baja",'Mapa final'!$AC$49="Catastrófico"),CONCATENATE("R7C",'Mapa final'!$Q$49),"")</f>
        <v/>
      </c>
      <c r="AM42" s="43" t="str">
        <f>IF(AND('Mapa final'!$AA$50="Baja",'Mapa final'!$AC$50="Catastrófico"),CONCATENATE("R7C",'Mapa final'!$Q$50),"")</f>
        <v/>
      </c>
      <c r="AN42" s="70"/>
      <c r="AO42" s="362"/>
      <c r="AP42" s="363"/>
      <c r="AQ42" s="363"/>
      <c r="AR42" s="363"/>
      <c r="AS42" s="363"/>
      <c r="AT42" s="364"/>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89"/>
      <c r="C43" s="289"/>
      <c r="D43" s="290"/>
      <c r="E43" s="330"/>
      <c r="F43" s="331"/>
      <c r="G43" s="331"/>
      <c r="H43" s="331"/>
      <c r="I43" s="347"/>
      <c r="J43" s="63" t="str">
        <f>IF(AND('Mapa final'!$AA$51="Baja",'Mapa final'!$AC$51="Leve"),CONCATENATE("R8C",'Mapa final'!$Q$51),"")</f>
        <v/>
      </c>
      <c r="K43" s="64" t="str">
        <f>IF(AND('Mapa final'!$AA$52="Baja",'Mapa final'!$AC$52="Leve"),CONCATENATE("R8C",'Mapa final'!$Q$52),"")</f>
        <v/>
      </c>
      <c r="L43" s="64" t="str">
        <f>IF(AND('Mapa final'!$AA$53="Baja",'Mapa final'!$AC$53="Leve"),CONCATENATE("R8C",'Mapa final'!$Q$53),"")</f>
        <v/>
      </c>
      <c r="M43" s="64" t="str">
        <f>IF(AND('Mapa final'!$AA$54="Baja",'Mapa final'!$AC$54="Leve"),CONCATENATE("R8C",'Mapa final'!$Q$54),"")</f>
        <v/>
      </c>
      <c r="N43" s="64" t="str">
        <f>IF(AND('Mapa final'!$AA$55="Baja",'Mapa final'!$AC$55="Leve"),CONCATENATE("R8C",'Mapa final'!$Q$55),"")</f>
        <v/>
      </c>
      <c r="O43" s="65" t="str">
        <f>IF(AND('Mapa final'!$AA$56="Baja",'Mapa final'!$AC$56="Leve"),CONCATENATE("R8C",'Mapa final'!$Q$56),"")</f>
        <v/>
      </c>
      <c r="P43" s="54" t="str">
        <f>IF(AND('Mapa final'!$AA$51="Baja",'Mapa final'!$AC$51="Menor"),CONCATENATE("R8C",'Mapa final'!$Q$51),"")</f>
        <v/>
      </c>
      <c r="Q43" s="55" t="str">
        <f>IF(AND('Mapa final'!$AA$52="Baja",'Mapa final'!$AC$52="Menor"),CONCATENATE("R8C",'Mapa final'!$Q$52),"")</f>
        <v/>
      </c>
      <c r="R43" s="55" t="str">
        <f>IF(AND('Mapa final'!$AA$53="Baja",'Mapa final'!$AC$53="Menor"),CONCATENATE("R8C",'Mapa final'!$Q$53),"")</f>
        <v/>
      </c>
      <c r="S43" s="55" t="str">
        <f>IF(AND('Mapa final'!$AA$54="Baja",'Mapa final'!$AC$54="Menor"),CONCATENATE("R8C",'Mapa final'!$Q$54),"")</f>
        <v/>
      </c>
      <c r="T43" s="55" t="str">
        <f>IF(AND('Mapa final'!$AA$55="Baja",'Mapa final'!$AC$55="Menor"),CONCATENATE("R8C",'Mapa final'!$Q$55),"")</f>
        <v/>
      </c>
      <c r="U43" s="56" t="str">
        <f>IF(AND('Mapa final'!$AA$56="Baja",'Mapa final'!$AC$56="Menor"),CONCATENATE("R8C",'Mapa final'!$Q$56),"")</f>
        <v/>
      </c>
      <c r="V43" s="54" t="str">
        <f>IF(AND('Mapa final'!$AA$51="Baja",'Mapa final'!$AC$51="Moderado"),CONCATENATE("R8C",'Mapa final'!$Q$51),"")</f>
        <v/>
      </c>
      <c r="W43" s="55" t="str">
        <f>IF(AND('Mapa final'!$AA$52="Baja",'Mapa final'!$AC$52="Moderado"),CONCATENATE("R8C",'Mapa final'!$Q$52),"")</f>
        <v/>
      </c>
      <c r="X43" s="55" t="str">
        <f>IF(AND('Mapa final'!$AA$53="Baja",'Mapa final'!$AC$53="Moderado"),CONCATENATE("R8C",'Mapa final'!$Q$53),"")</f>
        <v/>
      </c>
      <c r="Y43" s="55" t="str">
        <f>IF(AND('Mapa final'!$AA$54="Baja",'Mapa final'!$AC$54="Moderado"),CONCATENATE("R8C",'Mapa final'!$Q$54),"")</f>
        <v/>
      </c>
      <c r="Z43" s="55" t="str">
        <f>IF(AND('Mapa final'!$AA$55="Baja",'Mapa final'!$AC$55="Moderado"),CONCATENATE("R8C",'Mapa final'!$Q$55),"")</f>
        <v/>
      </c>
      <c r="AA43" s="56" t="str">
        <f>IF(AND('Mapa final'!$AA$56="Baja",'Mapa final'!$AC$56="Moderado"),CONCATENATE("R8C",'Mapa final'!$Q$56),"")</f>
        <v/>
      </c>
      <c r="AB43" s="38" t="str">
        <f>IF(AND('Mapa final'!$AA$51="Baja",'Mapa final'!$AC$51="Mayor"),CONCATENATE("R8C",'Mapa final'!$Q$51),"")</f>
        <v/>
      </c>
      <c r="AC43" s="39" t="str">
        <f>IF(AND('Mapa final'!$AA$52="Baja",'Mapa final'!$AC$52="Mayor"),CONCATENATE("R8C",'Mapa final'!$Q$52),"")</f>
        <v/>
      </c>
      <c r="AD43" s="44" t="str">
        <f>IF(AND('Mapa final'!$AA$53="Baja",'Mapa final'!$AC$53="Mayor"),CONCATENATE("R8C",'Mapa final'!$Q$53),"")</f>
        <v/>
      </c>
      <c r="AE43" s="44" t="str">
        <f>IF(AND('Mapa final'!$AA$54="Baja",'Mapa final'!$AC$54="Mayor"),CONCATENATE("R8C",'Mapa final'!$Q$54),"")</f>
        <v/>
      </c>
      <c r="AF43" s="44" t="str">
        <f>IF(AND('Mapa final'!$AA$55="Baja",'Mapa final'!$AC$55="Mayor"),CONCATENATE("R8C",'Mapa final'!$Q$55),"")</f>
        <v/>
      </c>
      <c r="AG43" s="40" t="str">
        <f>IF(AND('Mapa final'!$AA$56="Baja",'Mapa final'!$AC$56="Mayor"),CONCATENATE("R8C",'Mapa final'!$Q$56),"")</f>
        <v/>
      </c>
      <c r="AH43" s="41" t="str">
        <f>IF(AND('Mapa final'!$AA$51="Baja",'Mapa final'!$AC$51="Catastrófico"),CONCATENATE("R8C",'Mapa final'!$Q$51),"")</f>
        <v/>
      </c>
      <c r="AI43" s="42" t="str">
        <f>IF(AND('Mapa final'!$AA$52="Baja",'Mapa final'!$AC$52="Catastrófico"),CONCATENATE("R8C",'Mapa final'!$Q$52),"")</f>
        <v/>
      </c>
      <c r="AJ43" s="42" t="str">
        <f>IF(AND('Mapa final'!$AA$53="Baja",'Mapa final'!$AC$53="Catastrófico"),CONCATENATE("R8C",'Mapa final'!$Q$53),"")</f>
        <v/>
      </c>
      <c r="AK43" s="42" t="str">
        <f>IF(AND('Mapa final'!$AA$54="Baja",'Mapa final'!$AC$54="Catastrófico"),CONCATENATE("R8C",'Mapa final'!$Q$54),"")</f>
        <v/>
      </c>
      <c r="AL43" s="42" t="str">
        <f>IF(AND('Mapa final'!$AA$55="Baja",'Mapa final'!$AC$55="Catastrófico"),CONCATENATE("R8C",'Mapa final'!$Q$55),"")</f>
        <v/>
      </c>
      <c r="AM43" s="43" t="str">
        <f>IF(AND('Mapa final'!$AA$56="Baja",'Mapa final'!$AC$56="Catastrófico"),CONCATENATE("R8C",'Mapa final'!$Q$56),"")</f>
        <v/>
      </c>
      <c r="AN43" s="70"/>
      <c r="AO43" s="362"/>
      <c r="AP43" s="363"/>
      <c r="AQ43" s="363"/>
      <c r="AR43" s="363"/>
      <c r="AS43" s="363"/>
      <c r="AT43" s="364"/>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89"/>
      <c r="C44" s="289"/>
      <c r="D44" s="290"/>
      <c r="E44" s="330"/>
      <c r="F44" s="331"/>
      <c r="G44" s="331"/>
      <c r="H44" s="331"/>
      <c r="I44" s="347"/>
      <c r="J44" s="63" t="str">
        <f>IF(AND('Mapa final'!$AA$57="Baja",'Mapa final'!$AC$57="Leve"),CONCATENATE("R9C",'Mapa final'!$Q$57),"")</f>
        <v/>
      </c>
      <c r="K44" s="64" t="str">
        <f>IF(AND('Mapa final'!$AA$58="Baja",'Mapa final'!$AC$58="Leve"),CONCATENATE("R9C",'Mapa final'!$Q$58),"")</f>
        <v/>
      </c>
      <c r="L44" s="64" t="str">
        <f>IF(AND('Mapa final'!$AA$59="Baja",'Mapa final'!$AC$59="Leve"),CONCATENATE("R9C",'Mapa final'!$Q$59),"")</f>
        <v/>
      </c>
      <c r="M44" s="64" t="str">
        <f>IF(AND('Mapa final'!$AA$60="Baja",'Mapa final'!$AC$60="Leve"),CONCATENATE("R9C",'Mapa final'!$Q$60),"")</f>
        <v/>
      </c>
      <c r="N44" s="64" t="str">
        <f>IF(AND('Mapa final'!$AA$61="Baja",'Mapa final'!$AC$61="Leve"),CONCATENATE("R9C",'Mapa final'!$Q$61),"")</f>
        <v/>
      </c>
      <c r="O44" s="65" t="str">
        <f>IF(AND('Mapa final'!$AA$62="Baja",'Mapa final'!$AC$62="Leve"),CONCATENATE("R9C",'Mapa final'!$Q$62),"")</f>
        <v/>
      </c>
      <c r="P44" s="54" t="str">
        <f>IF(AND('Mapa final'!$AA$57="Baja",'Mapa final'!$AC$57="Menor"),CONCATENATE("R9C",'Mapa final'!$Q$57),"")</f>
        <v/>
      </c>
      <c r="Q44" s="55" t="str">
        <f>IF(AND('Mapa final'!$AA$58="Baja",'Mapa final'!$AC$58="Menor"),CONCATENATE("R9C",'Mapa final'!$Q$58),"")</f>
        <v/>
      </c>
      <c r="R44" s="55" t="str">
        <f>IF(AND('Mapa final'!$AA$59="Baja",'Mapa final'!$AC$59="Menor"),CONCATENATE("R9C",'Mapa final'!$Q$59),"")</f>
        <v/>
      </c>
      <c r="S44" s="55" t="str">
        <f>IF(AND('Mapa final'!$AA$60="Baja",'Mapa final'!$AC$60="Menor"),CONCATENATE("R9C",'Mapa final'!$Q$60),"")</f>
        <v/>
      </c>
      <c r="T44" s="55" t="str">
        <f>IF(AND('Mapa final'!$AA$61="Baja",'Mapa final'!$AC$61="Menor"),CONCATENATE("R9C",'Mapa final'!$Q$61),"")</f>
        <v/>
      </c>
      <c r="U44" s="56" t="str">
        <f>IF(AND('Mapa final'!$AA$62="Baja",'Mapa final'!$AC$62="Menor"),CONCATENATE("R9C",'Mapa final'!$Q$62),"")</f>
        <v/>
      </c>
      <c r="V44" s="54" t="str">
        <f>IF(AND('Mapa final'!$AA$57="Baja",'Mapa final'!$AC$57="Moderado"),CONCATENATE("R9C",'Mapa final'!$Q$57),"")</f>
        <v/>
      </c>
      <c r="W44" s="55" t="str">
        <f>IF(AND('Mapa final'!$AA$58="Baja",'Mapa final'!$AC$58="Moderado"),CONCATENATE("R9C",'Mapa final'!$Q$58),"")</f>
        <v/>
      </c>
      <c r="X44" s="55" t="str">
        <f>IF(AND('Mapa final'!$AA$59="Baja",'Mapa final'!$AC$59="Moderado"),CONCATENATE("R9C",'Mapa final'!$Q$59),"")</f>
        <v/>
      </c>
      <c r="Y44" s="55" t="str">
        <f>IF(AND('Mapa final'!$AA$60="Baja",'Mapa final'!$AC$60="Moderado"),CONCATENATE("R9C",'Mapa final'!$Q$60),"")</f>
        <v/>
      </c>
      <c r="Z44" s="55" t="str">
        <f>IF(AND('Mapa final'!$AA$61="Baja",'Mapa final'!$AC$61="Moderado"),CONCATENATE("R9C",'Mapa final'!$Q$61),"")</f>
        <v/>
      </c>
      <c r="AA44" s="56" t="str">
        <f>IF(AND('Mapa final'!$AA$62="Baja",'Mapa final'!$AC$62="Moderado"),CONCATENATE("R9C",'Mapa final'!$Q$62),"")</f>
        <v/>
      </c>
      <c r="AB44" s="38" t="str">
        <f>IF(AND('Mapa final'!$AA$57="Baja",'Mapa final'!$AC$57="Mayor"),CONCATENATE("R9C",'Mapa final'!$Q$57),"")</f>
        <v/>
      </c>
      <c r="AC44" s="39" t="str">
        <f>IF(AND('Mapa final'!$AA$58="Baja",'Mapa final'!$AC$58="Mayor"),CONCATENATE("R9C",'Mapa final'!$Q$58),"")</f>
        <v/>
      </c>
      <c r="AD44" s="44" t="str">
        <f>IF(AND('Mapa final'!$AA$59="Baja",'Mapa final'!$AC$59="Mayor"),CONCATENATE("R9C",'Mapa final'!$Q$59),"")</f>
        <v/>
      </c>
      <c r="AE44" s="44" t="str">
        <f>IF(AND('Mapa final'!$AA$60="Baja",'Mapa final'!$AC$60="Mayor"),CONCATENATE("R9C",'Mapa final'!$Q$60),"")</f>
        <v/>
      </c>
      <c r="AF44" s="44" t="str">
        <f>IF(AND('Mapa final'!$AA$61="Baja",'Mapa final'!$AC$61="Mayor"),CONCATENATE("R9C",'Mapa final'!$Q$61),"")</f>
        <v/>
      </c>
      <c r="AG44" s="40" t="str">
        <f>IF(AND('Mapa final'!$AA$62="Baja",'Mapa final'!$AC$62="Mayor"),CONCATENATE("R9C",'Mapa final'!$Q$62),"")</f>
        <v/>
      </c>
      <c r="AH44" s="41" t="str">
        <f>IF(AND('Mapa final'!$AA$57="Baja",'Mapa final'!$AC$57="Catastrófico"),CONCATENATE("R9C",'Mapa final'!$Q$57),"")</f>
        <v/>
      </c>
      <c r="AI44" s="42" t="str">
        <f>IF(AND('Mapa final'!$AA$58="Baja",'Mapa final'!$AC$58="Catastrófico"),CONCATENATE("R9C",'Mapa final'!$Q$58),"")</f>
        <v/>
      </c>
      <c r="AJ44" s="42" t="str">
        <f>IF(AND('Mapa final'!$AA$59="Baja",'Mapa final'!$AC$59="Catastrófico"),CONCATENATE("R9C",'Mapa final'!$Q$59),"")</f>
        <v/>
      </c>
      <c r="AK44" s="42" t="str">
        <f>IF(AND('Mapa final'!$AA$60="Baja",'Mapa final'!$AC$60="Catastrófico"),CONCATENATE("R9C",'Mapa final'!$Q$60),"")</f>
        <v/>
      </c>
      <c r="AL44" s="42" t="str">
        <f>IF(AND('Mapa final'!$AA$61="Baja",'Mapa final'!$AC$61="Catastrófico"),CONCATENATE("R9C",'Mapa final'!$Q$61),"")</f>
        <v/>
      </c>
      <c r="AM44" s="43" t="str">
        <f>IF(AND('Mapa final'!$AA$62="Baja",'Mapa final'!$AC$62="Catastrófico"),CONCATENATE("R9C",'Mapa final'!$Q$62),"")</f>
        <v/>
      </c>
      <c r="AN44" s="70"/>
      <c r="AO44" s="362"/>
      <c r="AP44" s="363"/>
      <c r="AQ44" s="363"/>
      <c r="AR44" s="363"/>
      <c r="AS44" s="363"/>
      <c r="AT44" s="364"/>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89"/>
      <c r="C45" s="289"/>
      <c r="D45" s="290"/>
      <c r="E45" s="333"/>
      <c r="F45" s="334"/>
      <c r="G45" s="334"/>
      <c r="H45" s="334"/>
      <c r="I45" s="334"/>
      <c r="J45" s="66" t="str">
        <f>IF(AND('Mapa final'!$AA$63="Baja",'Mapa final'!$AC$63="Leve"),CONCATENATE("R10C",'Mapa final'!$Q$63),"")</f>
        <v/>
      </c>
      <c r="K45" s="67" t="str">
        <f>IF(AND('Mapa final'!$AA$64="Baja",'Mapa final'!$AC$64="Leve"),CONCATENATE("R10C",'Mapa final'!$Q$64),"")</f>
        <v/>
      </c>
      <c r="L45" s="67" t="str">
        <f>IF(AND('Mapa final'!$AA$65="Baja",'Mapa final'!$AC$65="Leve"),CONCATENATE("R10C",'Mapa final'!$Q$65),"")</f>
        <v/>
      </c>
      <c r="M45" s="67" t="str">
        <f>IF(AND('Mapa final'!$AA$66="Baja",'Mapa final'!$AC$66="Leve"),CONCATENATE("R10C",'Mapa final'!$Q$66),"")</f>
        <v/>
      </c>
      <c r="N45" s="67" t="str">
        <f>IF(AND('Mapa final'!$AA$67="Baja",'Mapa final'!$AC$67="Leve"),CONCATENATE("R10C",'Mapa final'!$Q$67),"")</f>
        <v/>
      </c>
      <c r="O45" s="68" t="str">
        <f>IF(AND('Mapa final'!$AA$68="Baja",'Mapa final'!$AC$68="Leve"),CONCATENATE("R10C",'Mapa final'!$Q$68),"")</f>
        <v/>
      </c>
      <c r="P45" s="54" t="str">
        <f>IF(AND('Mapa final'!$AA$63="Baja",'Mapa final'!$AC$63="Menor"),CONCATENATE("R10C",'Mapa final'!$Q$63),"")</f>
        <v/>
      </c>
      <c r="Q45" s="55" t="str">
        <f>IF(AND('Mapa final'!$AA$64="Baja",'Mapa final'!$AC$64="Menor"),CONCATENATE("R10C",'Mapa final'!$Q$64),"")</f>
        <v/>
      </c>
      <c r="R45" s="55" t="str">
        <f>IF(AND('Mapa final'!$AA$65="Baja",'Mapa final'!$AC$65="Menor"),CONCATENATE("R10C",'Mapa final'!$Q$65),"")</f>
        <v/>
      </c>
      <c r="S45" s="55" t="str">
        <f>IF(AND('Mapa final'!$AA$66="Baja",'Mapa final'!$AC$66="Menor"),CONCATENATE("R10C",'Mapa final'!$Q$66),"")</f>
        <v/>
      </c>
      <c r="T45" s="55" t="str">
        <f>IF(AND('Mapa final'!$AA$67="Baja",'Mapa final'!$AC$67="Menor"),CONCATENATE("R10C",'Mapa final'!$Q$67),"")</f>
        <v/>
      </c>
      <c r="U45" s="56" t="str">
        <f>IF(AND('Mapa final'!$AA$68="Baja",'Mapa final'!$AC$68="Menor"),CONCATENATE("R10C",'Mapa final'!$Q$68),"")</f>
        <v/>
      </c>
      <c r="V45" s="57" t="str">
        <f>IF(AND('Mapa final'!$AA$63="Baja",'Mapa final'!$AC$63="Moderado"),CONCATENATE("R10C",'Mapa final'!$Q$63),"")</f>
        <v/>
      </c>
      <c r="W45" s="58" t="str">
        <f>IF(AND('Mapa final'!$AA$64="Baja",'Mapa final'!$AC$64="Moderado"),CONCATENATE("R10C",'Mapa final'!$Q$64),"")</f>
        <v/>
      </c>
      <c r="X45" s="58" t="str">
        <f>IF(AND('Mapa final'!$AA$65="Baja",'Mapa final'!$AC$65="Moderado"),CONCATENATE("R10C",'Mapa final'!$Q$65),"")</f>
        <v/>
      </c>
      <c r="Y45" s="58" t="str">
        <f>IF(AND('Mapa final'!$AA$66="Baja",'Mapa final'!$AC$66="Moderado"),CONCATENATE("R10C",'Mapa final'!$Q$66),"")</f>
        <v/>
      </c>
      <c r="Z45" s="58" t="str">
        <f>IF(AND('Mapa final'!$AA$67="Baja",'Mapa final'!$AC$67="Moderado"),CONCATENATE("R10C",'Mapa final'!$Q$67),"")</f>
        <v/>
      </c>
      <c r="AA45" s="59" t="str">
        <f>IF(AND('Mapa final'!$AA$68="Baja",'Mapa final'!$AC$68="Moderado"),CONCATENATE("R10C",'Mapa final'!$Q$68),"")</f>
        <v/>
      </c>
      <c r="AB45" s="45" t="str">
        <f>IF(AND('Mapa final'!$AA$63="Baja",'Mapa final'!$AC$63="Mayor"),CONCATENATE("R10C",'Mapa final'!$Q$63),"")</f>
        <v/>
      </c>
      <c r="AC45" s="46" t="str">
        <f>IF(AND('Mapa final'!$AA$64="Baja",'Mapa final'!$AC$64="Mayor"),CONCATENATE("R10C",'Mapa final'!$Q$64),"")</f>
        <v/>
      </c>
      <c r="AD45" s="46" t="str">
        <f>IF(AND('Mapa final'!$AA$65="Baja",'Mapa final'!$AC$65="Mayor"),CONCATENATE("R10C",'Mapa final'!$Q$65),"")</f>
        <v/>
      </c>
      <c r="AE45" s="46" t="str">
        <f>IF(AND('Mapa final'!$AA$66="Baja",'Mapa final'!$AC$66="Mayor"),CONCATENATE("R10C",'Mapa final'!$Q$66),"")</f>
        <v/>
      </c>
      <c r="AF45" s="46" t="str">
        <f>IF(AND('Mapa final'!$AA$67="Baja",'Mapa final'!$AC$67="Mayor"),CONCATENATE("R10C",'Mapa final'!$Q$67),"")</f>
        <v/>
      </c>
      <c r="AG45" s="47" t="str">
        <f>IF(AND('Mapa final'!$AA$68="Baja",'Mapa final'!$AC$68="Mayor"),CONCATENATE("R10C",'Mapa final'!$Q$68),"")</f>
        <v/>
      </c>
      <c r="AH45" s="48" t="str">
        <f>IF(AND('Mapa final'!$AA$63="Baja",'Mapa final'!$AC$63="Catastrófico"),CONCATENATE("R10C",'Mapa final'!$Q$63),"")</f>
        <v/>
      </c>
      <c r="AI45" s="49" t="str">
        <f>IF(AND('Mapa final'!$AA$64="Baja",'Mapa final'!$AC$64="Catastrófico"),CONCATENATE("R10C",'Mapa final'!$Q$64),"")</f>
        <v/>
      </c>
      <c r="AJ45" s="49" t="str">
        <f>IF(AND('Mapa final'!$AA$65="Baja",'Mapa final'!$AC$65="Catastrófico"),CONCATENATE("R10C",'Mapa final'!$Q$65),"")</f>
        <v/>
      </c>
      <c r="AK45" s="49" t="str">
        <f>IF(AND('Mapa final'!$AA$66="Baja",'Mapa final'!$AC$66="Catastrófico"),CONCATENATE("R10C",'Mapa final'!$Q$66),"")</f>
        <v/>
      </c>
      <c r="AL45" s="49" t="str">
        <f>IF(AND('Mapa final'!$AA$67="Baja",'Mapa final'!$AC$67="Catastrófico"),CONCATENATE("R10C",'Mapa final'!$Q$67),"")</f>
        <v/>
      </c>
      <c r="AM45" s="50" t="str">
        <f>IF(AND('Mapa final'!$AA$68="Baja",'Mapa final'!$AC$68="Catastrófico"),CONCATENATE("R10C",'Mapa final'!$Q$68),"")</f>
        <v/>
      </c>
      <c r="AN45" s="70"/>
      <c r="AO45" s="365"/>
      <c r="AP45" s="366"/>
      <c r="AQ45" s="366"/>
      <c r="AR45" s="366"/>
      <c r="AS45" s="366"/>
      <c r="AT45" s="367"/>
    </row>
    <row r="46" spans="1:80" ht="46.5" customHeight="1" x14ac:dyDescent="0.35">
      <c r="A46" s="70"/>
      <c r="B46" s="289"/>
      <c r="C46" s="289"/>
      <c r="D46" s="290"/>
      <c r="E46" s="327" t="s">
        <v>109</v>
      </c>
      <c r="F46" s="328"/>
      <c r="G46" s="328"/>
      <c r="H46" s="328"/>
      <c r="I46" s="329"/>
      <c r="J46" s="60" t="str">
        <f>IF(AND('Mapa final'!$AA$9="Muy Baja",'Mapa final'!$AC$9="Leve"),CONCATENATE("R1C",'Mapa final'!$Q$9),"")</f>
        <v/>
      </c>
      <c r="K46" s="61" t="str">
        <f>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IF(AND('Mapa final'!$AA$9="Muy Baja",'Mapa final'!$AC$9="Menor"),CONCATENATE("R1C",'Mapa final'!$Q$9),"")</f>
        <v/>
      </c>
      <c r="Q46" s="61" t="str">
        <f>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IF(AND('Mapa final'!$AA$9="Muy Baja",'Mapa final'!$AC$9="Moderado"),CONCATENATE("R1C",'Mapa final'!$Q$9),"")</f>
        <v/>
      </c>
      <c r="W46" s="69" t="str">
        <f>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IF(AND('Mapa final'!$AA$9="Muy Baja",'Mapa final'!$AC$9="Mayor"),CONCATENATE("R1C",'Mapa final'!$Q$9),"")</f>
        <v/>
      </c>
      <c r="AC46" s="33" t="str">
        <f>IF(AND('Mapa final'!$AA$10="Muy Baja",'Mapa final'!$AC$10="Mayor"),CONCATENATE("R1C",'Mapa final'!$Q$10),"")</f>
        <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IF(AND('Mapa final'!$AA$9="Muy Baja",'Mapa final'!$AC$9="Catastrófico"),CONCATENATE("R1C",'Mapa final'!$Q$9),"")</f>
        <v/>
      </c>
      <c r="AI46" s="36" t="str">
        <f>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89"/>
      <c r="C47" s="289"/>
      <c r="D47" s="290"/>
      <c r="E47" s="346"/>
      <c r="F47" s="347"/>
      <c r="G47" s="347"/>
      <c r="H47" s="347"/>
      <c r="I47" s="332"/>
      <c r="J47" s="63" t="str">
        <f>IF(AND('Mapa final'!$AA$15="Muy Baja",'Mapa final'!$AC$15="Leve"),CONCATENATE("R2C",'Mapa final'!$Q$15),"")</f>
        <v/>
      </c>
      <c r="K47" s="64" t="str">
        <f>IF(AND('Mapa final'!$AA$16="Muy Baja",'Mapa final'!$AC$16="Leve"),CONCATENATE("R2C",'Mapa final'!$Q$16),"")</f>
        <v>R2C2</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IF(AND('Mapa final'!$AA$15="Muy Baja",'Mapa final'!$AC$15="Menor"),CONCATENATE("R2C",'Mapa final'!$Q$15),"")</f>
        <v/>
      </c>
      <c r="Q47" s="64" t="str">
        <f>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IF(AND('Mapa final'!$AA$15="Muy Baja",'Mapa final'!$AC$15="Moderado"),CONCATENATE("R2C",'Mapa final'!$Q$15),"")</f>
        <v/>
      </c>
      <c r="W47" s="55" t="str">
        <f>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IF(AND('Mapa final'!$AA$15="Muy Baja",'Mapa final'!$AC$15="Mayor"),CONCATENATE("R2C",'Mapa final'!$Q$15),"")</f>
        <v/>
      </c>
      <c r="AC47" s="39" t="str">
        <f>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IF(AND('Mapa final'!$AA$15="Muy Baja",'Mapa final'!$AC$15="Catastrófico"),CONCATENATE("R2C",'Mapa final'!$Q$15),"")</f>
        <v/>
      </c>
      <c r="AI47" s="42" t="str">
        <f>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89"/>
      <c r="C48" s="289"/>
      <c r="D48" s="290"/>
      <c r="E48" s="346"/>
      <c r="F48" s="347"/>
      <c r="G48" s="347"/>
      <c r="H48" s="347"/>
      <c r="I48" s="332"/>
      <c r="J48" s="63" t="str">
        <f>IF(AND('Mapa final'!$AA$21="Muy Baja",'Mapa final'!$AC$21="Leve"),CONCATENATE("R3C",'Mapa final'!$Q$21),"")</f>
        <v/>
      </c>
      <c r="K48" s="64" t="str">
        <f>IF(AND('Mapa final'!$AA$22="Muy Baja",'Mapa final'!$AC$22="Leve"),CONCATENATE("R3C",'Mapa final'!$Q$22),"")</f>
        <v>R3C2</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IF(AND('Mapa final'!$AA$21="Muy Baja",'Mapa final'!$AC$21="Menor"),CONCATENATE("R3C",'Mapa final'!$Q$21),"")</f>
        <v/>
      </c>
      <c r="Q48" s="64" t="str">
        <f>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IF(AND('Mapa final'!$AA$21="Muy Baja",'Mapa final'!$AC$21="Moderado"),CONCATENATE("R3C",'Mapa final'!$Q$21),"")</f>
        <v/>
      </c>
      <c r="W48" s="55" t="str">
        <f>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IF(AND('Mapa final'!$AA$21="Muy Baja",'Mapa final'!$AC$21="Mayor"),CONCATENATE("R3C",'Mapa final'!$Q$21),"")</f>
        <v/>
      </c>
      <c r="AC48" s="39" t="str">
        <f>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IF(AND('Mapa final'!$AA$21="Muy Baja",'Mapa final'!$AC$21="Catastrófico"),CONCATENATE("R3C",'Mapa final'!$Q$21),"")</f>
        <v/>
      </c>
      <c r="AI48" s="42" t="str">
        <f>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89"/>
      <c r="C49" s="289"/>
      <c r="D49" s="290"/>
      <c r="E49" s="330"/>
      <c r="F49" s="331"/>
      <c r="G49" s="331"/>
      <c r="H49" s="331"/>
      <c r="I49" s="332"/>
      <c r="J49" s="63" t="str">
        <f>IF(AND('Mapa final'!$AA$27="Muy Baja",'Mapa final'!$AC$27="Leve"),CONCATENATE("R4C",'Mapa final'!$Q$27),"")</f>
        <v/>
      </c>
      <c r="K49" s="64" t="str">
        <f>IF(AND('Mapa final'!$AA$28="Muy Baja",'Mapa final'!$AC$28="Leve"),CONCATENATE("R4C",'Mapa final'!$Q$28),"")</f>
        <v/>
      </c>
      <c r="L49" s="64" t="str">
        <f>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IF(AND('Mapa final'!$AA$27="Muy Baja",'Mapa final'!$AC$27="Menor"),CONCATENATE("R4C",'Mapa final'!$Q$27),"")</f>
        <v/>
      </c>
      <c r="Q49" s="64" t="str">
        <f>IF(AND('Mapa final'!$AA$28="Muy Baja",'Mapa final'!$AC$28="Menor"),CONCATENATE("R4C",'Mapa final'!$Q$28),"")</f>
        <v/>
      </c>
      <c r="R49" s="64" t="str">
        <f>IF(AND('Mapa final'!$AA$29="Muy Baja",'Mapa final'!$AC$29="Menor"),CONCATENATE("R4C",'Mapa final'!$Q$29),"")</f>
        <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IF(AND('Mapa final'!$AA$27="Muy Baja",'Mapa final'!$AC$27="Moderado"),CONCATENATE("R4C",'Mapa final'!$Q$27),"")</f>
        <v/>
      </c>
      <c r="W49" s="55" t="str">
        <f>IF(AND('Mapa final'!$AA$28="Muy Baja",'Mapa final'!$AC$28="Moderado"),CONCATENATE("R4C",'Mapa final'!$Q$28),"")</f>
        <v/>
      </c>
      <c r="X49" s="55" t="str">
        <f>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IF(AND('Mapa final'!$AA$27="Muy Baja",'Mapa final'!$AC$27="Mayor"),CONCATENATE("R4C",'Mapa final'!$Q$27),"")</f>
        <v/>
      </c>
      <c r="AC49" s="39" t="str">
        <f>IF(AND('Mapa final'!$AA$28="Muy Baja",'Mapa final'!$AC$28="Mayor"),CONCATENATE("R4C",'Mapa final'!$Q$28),"")</f>
        <v/>
      </c>
      <c r="AD49" s="39" t="str">
        <f>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IF(AND('Mapa final'!$AA$27="Muy Baja",'Mapa final'!$AC$27="Catastrófico"),CONCATENATE("R4C",'Mapa final'!$Q$27),"")</f>
        <v/>
      </c>
      <c r="AI49" s="42" t="str">
        <f>IF(AND('Mapa final'!$AA$28="Muy Baja",'Mapa final'!$AC$28="Catastrófico"),CONCATENATE("R4C",'Mapa final'!$Q$28),"")</f>
        <v/>
      </c>
      <c r="AJ49" s="42" t="str">
        <f>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89"/>
      <c r="C50" s="289"/>
      <c r="D50" s="290"/>
      <c r="E50" s="330"/>
      <c r="F50" s="331"/>
      <c r="G50" s="331"/>
      <c r="H50" s="331"/>
      <c r="I50" s="332"/>
      <c r="J50" s="63" t="str">
        <f>IF(AND('Mapa final'!$AA$33="Muy Baja",'Mapa final'!$AC$33="Leve"),CONCATENATE("R5C",'Mapa final'!$Q$33),"")</f>
        <v/>
      </c>
      <c r="K50" s="64" t="str">
        <f>IF(AND('Mapa final'!$AA$34="Muy Baja",'Mapa final'!$AC$34="Leve"),CONCATENATE("R5C",'Mapa final'!$Q$34),"")</f>
        <v/>
      </c>
      <c r="L50" s="64" t="str">
        <f>IF(AND('Mapa final'!$AA$35="Muy Baja",'Mapa final'!$AC$35="Leve"),CONCATENATE("R5C",'Mapa final'!$Q$35),"")</f>
        <v/>
      </c>
      <c r="M50" s="64" t="str">
        <f>IF(AND('Mapa final'!$AA$36="Muy Baja",'Mapa final'!$AC$36="Leve"),CONCATENATE("R5C",'Mapa final'!$Q$36),"")</f>
        <v/>
      </c>
      <c r="N50" s="64" t="str">
        <f>IF(AND('Mapa final'!$AA$37="Muy Baja",'Mapa final'!$AC$37="Leve"),CONCATENATE("R5C",'Mapa final'!$Q$37),"")</f>
        <v/>
      </c>
      <c r="O50" s="65" t="str">
        <f>IF(AND('Mapa final'!$AA$38="Muy Baja",'Mapa final'!$AC$38="Leve"),CONCATENATE("R5C",'Mapa final'!$Q$38),"")</f>
        <v/>
      </c>
      <c r="P50" s="63" t="str">
        <f>IF(AND('Mapa final'!$AA$33="Muy Baja",'Mapa final'!$AC$33="Menor"),CONCATENATE("R5C",'Mapa final'!$Q$33),"")</f>
        <v/>
      </c>
      <c r="Q50" s="64" t="str">
        <f>IF(AND('Mapa final'!$AA$34="Muy Baja",'Mapa final'!$AC$34="Menor"),CONCATENATE("R5C",'Mapa final'!$Q$34),"")</f>
        <v/>
      </c>
      <c r="R50" s="64" t="str">
        <f>IF(AND('Mapa final'!$AA$35="Muy Baja",'Mapa final'!$AC$35="Menor"),CONCATENATE("R5C",'Mapa final'!$Q$35),"")</f>
        <v/>
      </c>
      <c r="S50" s="64" t="str">
        <f>IF(AND('Mapa final'!$AA$36="Muy Baja",'Mapa final'!$AC$36="Menor"),CONCATENATE("R5C",'Mapa final'!$Q$36),"")</f>
        <v/>
      </c>
      <c r="T50" s="64" t="str">
        <f>IF(AND('Mapa final'!$AA$37="Muy Baja",'Mapa final'!$AC$37="Menor"),CONCATENATE("R5C",'Mapa final'!$Q$37),"")</f>
        <v/>
      </c>
      <c r="U50" s="65" t="str">
        <f>IF(AND('Mapa final'!$AA$38="Muy Baja",'Mapa final'!$AC$38="Menor"),CONCATENATE("R5C",'Mapa final'!$Q$38),"")</f>
        <v/>
      </c>
      <c r="V50" s="54" t="str">
        <f>IF(AND('Mapa final'!$AA$33="Muy Baja",'Mapa final'!$AC$33="Moderado"),CONCATENATE("R5C",'Mapa final'!$Q$33),"")</f>
        <v/>
      </c>
      <c r="W50" s="55" t="str">
        <f>IF(AND('Mapa final'!$AA$34="Muy Baja",'Mapa final'!$AC$34="Moderado"),CONCATENATE("R5C",'Mapa final'!$Q$34),"")</f>
        <v/>
      </c>
      <c r="X50" s="55" t="str">
        <f>IF(AND('Mapa final'!$AA$35="Muy Baja",'Mapa final'!$AC$35="Moderado"),CONCATENATE("R5C",'Mapa final'!$Q$35),"")</f>
        <v/>
      </c>
      <c r="Y50" s="55" t="str">
        <f>IF(AND('Mapa final'!$AA$36="Muy Baja",'Mapa final'!$AC$36="Moderado"),CONCATENATE("R5C",'Mapa final'!$Q$36),"")</f>
        <v/>
      </c>
      <c r="Z50" s="55" t="str">
        <f>IF(AND('Mapa final'!$AA$37="Muy Baja",'Mapa final'!$AC$37="Moderado"),CONCATENATE("R5C",'Mapa final'!$Q$37),"")</f>
        <v/>
      </c>
      <c r="AA50" s="56" t="str">
        <f>IF(AND('Mapa final'!$AA$38="Muy Baja",'Mapa final'!$AC$38="Moderado"),CONCATENATE("R5C",'Mapa final'!$Q$38),"")</f>
        <v/>
      </c>
      <c r="AB50" s="38" t="str">
        <f>IF(AND('Mapa final'!$AA$33="Muy Baja",'Mapa final'!$AC$33="Mayor"),CONCATENATE("R5C",'Mapa final'!$Q$33),"")</f>
        <v/>
      </c>
      <c r="AC50" s="39" t="str">
        <f>IF(AND('Mapa final'!$AA$34="Muy Baja",'Mapa final'!$AC$34="Mayor"),CONCATENATE("R5C",'Mapa final'!$Q$34),"")</f>
        <v/>
      </c>
      <c r="AD50" s="44" t="str">
        <f>IF(AND('Mapa final'!$AA$35="Muy Baja",'Mapa final'!$AC$35="Mayor"),CONCATENATE("R5C",'Mapa final'!$Q$35),"")</f>
        <v/>
      </c>
      <c r="AE50" s="44" t="str">
        <f>IF(AND('Mapa final'!$AA$36="Muy Baja",'Mapa final'!$AC$36="Mayor"),CONCATENATE("R5C",'Mapa final'!$Q$36),"")</f>
        <v/>
      </c>
      <c r="AF50" s="44" t="str">
        <f>IF(AND('Mapa final'!$AA$37="Muy Baja",'Mapa final'!$AC$37="Mayor"),CONCATENATE("R5C",'Mapa final'!$Q$37),"")</f>
        <v/>
      </c>
      <c r="AG50" s="40" t="str">
        <f>IF(AND('Mapa final'!$AA$38="Muy Baja",'Mapa final'!$AC$38="Mayor"),CONCATENATE("R5C",'Mapa final'!$Q$38),"")</f>
        <v/>
      </c>
      <c r="AH50" s="41" t="str">
        <f>IF(AND('Mapa final'!$AA$33="Muy Baja",'Mapa final'!$AC$33="Catastrófico"),CONCATENATE("R5C",'Mapa final'!$Q$33),"")</f>
        <v/>
      </c>
      <c r="AI50" s="42" t="str">
        <f>IF(AND('Mapa final'!$AA$34="Muy Baja",'Mapa final'!$AC$34="Catastrófico"),CONCATENATE("R5C",'Mapa final'!$Q$34),"")</f>
        <v/>
      </c>
      <c r="AJ50" s="42" t="str">
        <f>IF(AND('Mapa final'!$AA$35="Muy Baja",'Mapa final'!$AC$35="Catastrófico"),CONCATENATE("R5C",'Mapa final'!$Q$35),"")</f>
        <v/>
      </c>
      <c r="AK50" s="42" t="str">
        <f>IF(AND('Mapa final'!$AA$36="Muy Baja",'Mapa final'!$AC$36="Catastrófico"),CONCATENATE("R5C",'Mapa final'!$Q$36),"")</f>
        <v/>
      </c>
      <c r="AL50" s="42" t="str">
        <f>IF(AND('Mapa final'!$AA$37="Muy Baja",'Mapa final'!$AC$37="Catastrófico"),CONCATENATE("R5C",'Mapa final'!$Q$37),"")</f>
        <v/>
      </c>
      <c r="AM50" s="43" t="str">
        <f>IF(AND('Mapa final'!$AA$38="Muy Baja",'Mapa final'!$AC$38="Catastrófico"),CONCATENATE("R5C",'Mapa final'!$Q$38),"")</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89"/>
      <c r="C51" s="289"/>
      <c r="D51" s="290"/>
      <c r="E51" s="330"/>
      <c r="F51" s="331"/>
      <c r="G51" s="331"/>
      <c r="H51" s="331"/>
      <c r="I51" s="332"/>
      <c r="J51" s="63" t="str">
        <f>IF(AND('Mapa final'!$AA$39="Muy Baja",'Mapa final'!$AC$39="Leve"),CONCATENATE("R6C",'Mapa final'!$Q$39),"")</f>
        <v/>
      </c>
      <c r="K51" s="64" t="str">
        <f>IF(AND('Mapa final'!$AA$40="Muy Baja",'Mapa final'!$AC$40="Leve"),CONCATENATE("R6C",'Mapa final'!$Q$40),"")</f>
        <v/>
      </c>
      <c r="L51" s="64" t="str">
        <f>IF(AND('Mapa final'!$AA$41="Muy Baja",'Mapa final'!$AC$41="Leve"),CONCATENATE("R6C",'Mapa final'!$Q$41),"")</f>
        <v/>
      </c>
      <c r="M51" s="64" t="str">
        <f>IF(AND('Mapa final'!$AA$42="Muy Baja",'Mapa final'!$AC$42="Leve"),CONCATENATE("R6C",'Mapa final'!$Q$42),"")</f>
        <v/>
      </c>
      <c r="N51" s="64" t="str">
        <f>IF(AND('Mapa final'!$AA$43="Muy Baja",'Mapa final'!$AC$43="Leve"),CONCATENATE("R6C",'Mapa final'!$Q$43),"")</f>
        <v/>
      </c>
      <c r="O51" s="65" t="str">
        <f>IF(AND('Mapa final'!$AA$44="Muy Baja",'Mapa final'!$AC$44="Leve"),CONCATENATE("R6C",'Mapa final'!$Q$44),"")</f>
        <v/>
      </c>
      <c r="P51" s="63" t="str">
        <f>IF(AND('Mapa final'!$AA$39="Muy Baja",'Mapa final'!$AC$39="Menor"),CONCATENATE("R6C",'Mapa final'!$Q$39),"")</f>
        <v/>
      </c>
      <c r="Q51" s="64" t="str">
        <f>IF(AND('Mapa final'!$AA$40="Muy Baja",'Mapa final'!$AC$40="Menor"),CONCATENATE("R6C",'Mapa final'!$Q$40),"")</f>
        <v/>
      </c>
      <c r="R51" s="64" t="str">
        <f>IF(AND('Mapa final'!$AA$41="Muy Baja",'Mapa final'!$AC$41="Menor"),CONCATENATE("R6C",'Mapa final'!$Q$41),"")</f>
        <v/>
      </c>
      <c r="S51" s="64" t="str">
        <f>IF(AND('Mapa final'!$AA$42="Muy Baja",'Mapa final'!$AC$42="Menor"),CONCATENATE("R6C",'Mapa final'!$Q$42),"")</f>
        <v/>
      </c>
      <c r="T51" s="64" t="str">
        <f>IF(AND('Mapa final'!$AA$43="Muy Baja",'Mapa final'!$AC$43="Menor"),CONCATENATE("R6C",'Mapa final'!$Q$43),"")</f>
        <v/>
      </c>
      <c r="U51" s="65" t="str">
        <f>IF(AND('Mapa final'!$AA$44="Muy Baja",'Mapa final'!$AC$44="Menor"),CONCATENATE("R6C",'Mapa final'!$Q$44),"")</f>
        <v/>
      </c>
      <c r="V51" s="54" t="str">
        <f>IF(AND('Mapa final'!$AA$39="Muy Baja",'Mapa final'!$AC$39="Moderado"),CONCATENATE("R6C",'Mapa final'!$Q$39),"")</f>
        <v/>
      </c>
      <c r="W51" s="55" t="str">
        <f>IF(AND('Mapa final'!$AA$40="Muy Baja",'Mapa final'!$AC$40="Moderado"),CONCATENATE("R6C",'Mapa final'!$Q$40),"")</f>
        <v/>
      </c>
      <c r="X51" s="55" t="str">
        <f>IF(AND('Mapa final'!$AA$41="Muy Baja",'Mapa final'!$AC$41="Moderado"),CONCATENATE("R6C",'Mapa final'!$Q$41),"")</f>
        <v/>
      </c>
      <c r="Y51" s="55" t="str">
        <f>IF(AND('Mapa final'!$AA$42="Muy Baja",'Mapa final'!$AC$42="Moderado"),CONCATENATE("R6C",'Mapa final'!$Q$42),"")</f>
        <v/>
      </c>
      <c r="Z51" s="55" t="str">
        <f>IF(AND('Mapa final'!$AA$43="Muy Baja",'Mapa final'!$AC$43="Moderado"),CONCATENATE("R6C",'Mapa final'!$Q$43),"")</f>
        <v/>
      </c>
      <c r="AA51" s="56" t="str">
        <f>IF(AND('Mapa final'!$AA$44="Muy Baja",'Mapa final'!$AC$44="Moderado"),CONCATENATE("R6C",'Mapa final'!$Q$44),"")</f>
        <v/>
      </c>
      <c r="AB51" s="38" t="str">
        <f>IF(AND('Mapa final'!$AA$39="Muy Baja",'Mapa final'!$AC$39="Mayor"),CONCATENATE("R6C",'Mapa final'!$Q$39),"")</f>
        <v/>
      </c>
      <c r="AC51" s="39" t="str">
        <f>IF(AND('Mapa final'!$AA$40="Muy Baja",'Mapa final'!$AC$40="Mayor"),CONCATENATE("R6C",'Mapa final'!$Q$40),"")</f>
        <v/>
      </c>
      <c r="AD51" s="44" t="str">
        <f>IF(AND('Mapa final'!$AA$41="Muy Baja",'Mapa final'!$AC$41="Mayor"),CONCATENATE("R6C",'Mapa final'!$Q$41),"")</f>
        <v/>
      </c>
      <c r="AE51" s="44" t="str">
        <f>IF(AND('Mapa final'!$AA$42="Muy Baja",'Mapa final'!$AC$42="Mayor"),CONCATENATE("R6C",'Mapa final'!$Q$42),"")</f>
        <v/>
      </c>
      <c r="AF51" s="44" t="str">
        <f>IF(AND('Mapa final'!$AA$43="Muy Baja",'Mapa final'!$AC$43="Mayor"),CONCATENATE("R6C",'Mapa final'!$Q$43),"")</f>
        <v/>
      </c>
      <c r="AG51" s="40" t="str">
        <f>IF(AND('Mapa final'!$AA$44="Muy Baja",'Mapa final'!$AC$44="Mayor"),CONCATENATE("R6C",'Mapa final'!$Q$44),"")</f>
        <v/>
      </c>
      <c r="AH51" s="41" t="str">
        <f>IF(AND('Mapa final'!$AA$39="Muy Baja",'Mapa final'!$AC$39="Catastrófico"),CONCATENATE("R6C",'Mapa final'!$Q$39),"")</f>
        <v/>
      </c>
      <c r="AI51" s="42" t="str">
        <f>IF(AND('Mapa final'!$AA$40="Muy Baja",'Mapa final'!$AC$40="Catastrófico"),CONCATENATE("R6C",'Mapa final'!$Q$40),"")</f>
        <v/>
      </c>
      <c r="AJ51" s="42" t="str">
        <f>IF(AND('Mapa final'!$AA$41="Muy Baja",'Mapa final'!$AC$41="Catastrófico"),CONCATENATE("R6C",'Mapa final'!$Q$41),"")</f>
        <v/>
      </c>
      <c r="AK51" s="42" t="str">
        <f>IF(AND('Mapa final'!$AA$42="Muy Baja",'Mapa final'!$AC$42="Catastrófico"),CONCATENATE("R6C",'Mapa final'!$Q$42),"")</f>
        <v/>
      </c>
      <c r="AL51" s="42" t="str">
        <f>IF(AND('Mapa final'!$AA$43="Muy Baja",'Mapa final'!$AC$43="Catastrófico"),CONCATENATE("R6C",'Mapa final'!$Q$43),"")</f>
        <v/>
      </c>
      <c r="AM51" s="43" t="str">
        <f>IF(AND('Mapa final'!$AA$44="Muy Baja",'Mapa final'!$AC$44="Catastrófico"),CONCATENATE("R6C",'Mapa final'!$Q$44),"")</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89"/>
      <c r="C52" s="289"/>
      <c r="D52" s="290"/>
      <c r="E52" s="330"/>
      <c r="F52" s="331"/>
      <c r="G52" s="331"/>
      <c r="H52" s="331"/>
      <c r="I52" s="332"/>
      <c r="J52" s="63" t="str">
        <f>IF(AND('Mapa final'!$AA$45="Muy Baja",'Mapa final'!$AC$45="Leve"),CONCATENATE("R7C",'Mapa final'!$Q$45),"")</f>
        <v/>
      </c>
      <c r="K52" s="64" t="str">
        <f>IF(AND('Mapa final'!$AA$46="Muy Baja",'Mapa final'!$AC$46="Leve"),CONCATENATE("R7C",'Mapa final'!$Q$46),"")</f>
        <v/>
      </c>
      <c r="L52" s="64" t="str">
        <f>IF(AND('Mapa final'!$AA$47="Muy Baja",'Mapa final'!$AC$47="Leve"),CONCATENATE("R7C",'Mapa final'!$Q$47),"")</f>
        <v/>
      </c>
      <c r="M52" s="64" t="str">
        <f>IF(AND('Mapa final'!$AA$48="Muy Baja",'Mapa final'!$AC$48="Leve"),CONCATENATE("R7C",'Mapa final'!$Q$48),"")</f>
        <v/>
      </c>
      <c r="N52" s="64" t="str">
        <f>IF(AND('Mapa final'!$AA$49="Muy Baja",'Mapa final'!$AC$49="Leve"),CONCATENATE("R7C",'Mapa final'!$Q$49),"")</f>
        <v/>
      </c>
      <c r="O52" s="65" t="str">
        <f>IF(AND('Mapa final'!$AA$50="Muy Baja",'Mapa final'!$AC$50="Leve"),CONCATENATE("R7C",'Mapa final'!$Q$50),"")</f>
        <v/>
      </c>
      <c r="P52" s="63" t="str">
        <f>IF(AND('Mapa final'!$AA$45="Muy Baja",'Mapa final'!$AC$45="Menor"),CONCATENATE("R7C",'Mapa final'!$Q$45),"")</f>
        <v/>
      </c>
      <c r="Q52" s="64" t="str">
        <f>IF(AND('Mapa final'!$AA$46="Muy Baja",'Mapa final'!$AC$46="Menor"),CONCATENATE("R7C",'Mapa final'!$Q$46),"")</f>
        <v/>
      </c>
      <c r="R52" s="64" t="str">
        <f>IF(AND('Mapa final'!$AA$47="Muy Baja",'Mapa final'!$AC$47="Menor"),CONCATENATE("R7C",'Mapa final'!$Q$47),"")</f>
        <v/>
      </c>
      <c r="S52" s="64" t="str">
        <f>IF(AND('Mapa final'!$AA$48="Muy Baja",'Mapa final'!$AC$48="Menor"),CONCATENATE("R7C",'Mapa final'!$Q$48),"")</f>
        <v/>
      </c>
      <c r="T52" s="64" t="str">
        <f>IF(AND('Mapa final'!$AA$49="Muy Baja",'Mapa final'!$AC$49="Menor"),CONCATENATE("R7C",'Mapa final'!$Q$49),"")</f>
        <v/>
      </c>
      <c r="U52" s="65" t="str">
        <f>IF(AND('Mapa final'!$AA$50="Muy Baja",'Mapa final'!$AC$50="Menor"),CONCATENATE("R7C",'Mapa final'!$Q$50),"")</f>
        <v/>
      </c>
      <c r="V52" s="54" t="str">
        <f>IF(AND('Mapa final'!$AA$45="Muy Baja",'Mapa final'!$AC$45="Moderado"),CONCATENATE("R7C",'Mapa final'!$Q$45),"")</f>
        <v/>
      </c>
      <c r="W52" s="55" t="str">
        <f>IF(AND('Mapa final'!$AA$46="Muy Baja",'Mapa final'!$AC$46="Moderado"),CONCATENATE("R7C",'Mapa final'!$Q$46),"")</f>
        <v/>
      </c>
      <c r="X52" s="55" t="str">
        <f>IF(AND('Mapa final'!$AA$47="Muy Baja",'Mapa final'!$AC$47="Moderado"),CONCATENATE("R7C",'Mapa final'!$Q$47),"")</f>
        <v/>
      </c>
      <c r="Y52" s="55" t="str">
        <f>IF(AND('Mapa final'!$AA$48="Muy Baja",'Mapa final'!$AC$48="Moderado"),CONCATENATE("R7C",'Mapa final'!$Q$48),"")</f>
        <v/>
      </c>
      <c r="Z52" s="55" t="str">
        <f>IF(AND('Mapa final'!$AA$49="Muy Baja",'Mapa final'!$AC$49="Moderado"),CONCATENATE("R7C",'Mapa final'!$Q$49),"")</f>
        <v/>
      </c>
      <c r="AA52" s="56" t="str">
        <f>IF(AND('Mapa final'!$AA$50="Muy Baja",'Mapa final'!$AC$50="Moderado"),CONCATENATE("R7C",'Mapa final'!$Q$50),"")</f>
        <v/>
      </c>
      <c r="AB52" s="38" t="str">
        <f>IF(AND('Mapa final'!$AA$45="Muy Baja",'Mapa final'!$AC$45="Mayor"),CONCATENATE("R7C",'Mapa final'!$Q$45),"")</f>
        <v/>
      </c>
      <c r="AC52" s="39" t="str">
        <f>IF(AND('Mapa final'!$AA$46="Muy Baja",'Mapa final'!$AC$46="Mayor"),CONCATENATE("R7C",'Mapa final'!$Q$46),"")</f>
        <v/>
      </c>
      <c r="AD52" s="44" t="str">
        <f>IF(AND('Mapa final'!$AA$47="Muy Baja",'Mapa final'!$AC$47="Mayor"),CONCATENATE("R7C",'Mapa final'!$Q$47),"")</f>
        <v/>
      </c>
      <c r="AE52" s="44" t="str">
        <f>IF(AND('Mapa final'!$AA$48="Muy Baja",'Mapa final'!$AC$48="Mayor"),CONCATENATE("R7C",'Mapa final'!$Q$48),"")</f>
        <v/>
      </c>
      <c r="AF52" s="44" t="str">
        <f>IF(AND('Mapa final'!$AA$49="Muy Baja",'Mapa final'!$AC$49="Mayor"),CONCATENATE("R7C",'Mapa final'!$Q$49),"")</f>
        <v/>
      </c>
      <c r="AG52" s="40" t="str">
        <f>IF(AND('Mapa final'!$AA$50="Muy Baja",'Mapa final'!$AC$50="Mayor"),CONCATENATE("R7C",'Mapa final'!$Q$50),"")</f>
        <v/>
      </c>
      <c r="AH52" s="41" t="str">
        <f>IF(AND('Mapa final'!$AA$45="Muy Baja",'Mapa final'!$AC$45="Catastrófico"),CONCATENATE("R7C",'Mapa final'!$Q$45),"")</f>
        <v/>
      </c>
      <c r="AI52" s="42" t="str">
        <f>IF(AND('Mapa final'!$AA$46="Muy Baja",'Mapa final'!$AC$46="Catastrófico"),CONCATENATE("R7C",'Mapa final'!$Q$46),"")</f>
        <v/>
      </c>
      <c r="AJ52" s="42" t="str">
        <f>IF(AND('Mapa final'!$AA$47="Muy Baja",'Mapa final'!$AC$47="Catastrófico"),CONCATENATE("R7C",'Mapa final'!$Q$47),"")</f>
        <v/>
      </c>
      <c r="AK52" s="42" t="str">
        <f>IF(AND('Mapa final'!$AA$48="Muy Baja",'Mapa final'!$AC$48="Catastrófico"),CONCATENATE("R7C",'Mapa final'!$Q$48),"")</f>
        <v/>
      </c>
      <c r="AL52" s="42" t="str">
        <f>IF(AND('Mapa final'!$AA$49="Muy Baja",'Mapa final'!$AC$49="Catastrófico"),CONCATENATE("R7C",'Mapa final'!$Q$49),"")</f>
        <v/>
      </c>
      <c r="AM52" s="43" t="str">
        <f>IF(AND('Mapa final'!$AA$50="Muy Baja",'Mapa final'!$AC$50="Catastrófico"),CONCATENATE("R7C",'Mapa final'!$Q$50),"")</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89"/>
      <c r="C53" s="289"/>
      <c r="D53" s="290"/>
      <c r="E53" s="330"/>
      <c r="F53" s="331"/>
      <c r="G53" s="331"/>
      <c r="H53" s="331"/>
      <c r="I53" s="332"/>
      <c r="J53" s="63" t="str">
        <f>IF(AND('Mapa final'!$AA$51="Muy Baja",'Mapa final'!$AC$51="Leve"),CONCATENATE("R8C",'Mapa final'!$Q$51),"")</f>
        <v/>
      </c>
      <c r="K53" s="64" t="str">
        <f>IF(AND('Mapa final'!$AA$52="Muy Baja",'Mapa final'!$AC$52="Leve"),CONCATENATE("R8C",'Mapa final'!$Q$52),"")</f>
        <v/>
      </c>
      <c r="L53" s="64" t="str">
        <f>IF(AND('Mapa final'!$AA$53="Muy Baja",'Mapa final'!$AC$53="Leve"),CONCATENATE("R8C",'Mapa final'!$Q$53),"")</f>
        <v/>
      </c>
      <c r="M53" s="64" t="str">
        <f>IF(AND('Mapa final'!$AA$54="Muy Baja",'Mapa final'!$AC$54="Leve"),CONCATENATE("R8C",'Mapa final'!$Q$54),"")</f>
        <v/>
      </c>
      <c r="N53" s="64" t="str">
        <f>IF(AND('Mapa final'!$AA$55="Muy Baja",'Mapa final'!$AC$55="Leve"),CONCATENATE("R8C",'Mapa final'!$Q$55),"")</f>
        <v/>
      </c>
      <c r="O53" s="65" t="str">
        <f>IF(AND('Mapa final'!$AA$56="Muy Baja",'Mapa final'!$AC$56="Leve"),CONCATENATE("R8C",'Mapa final'!$Q$56),"")</f>
        <v/>
      </c>
      <c r="P53" s="63" t="str">
        <f>IF(AND('Mapa final'!$AA$51="Muy Baja",'Mapa final'!$AC$51="Menor"),CONCATENATE("R8C",'Mapa final'!$Q$51),"")</f>
        <v/>
      </c>
      <c r="Q53" s="64" t="str">
        <f>IF(AND('Mapa final'!$AA$52="Muy Baja",'Mapa final'!$AC$52="Menor"),CONCATENATE("R8C",'Mapa final'!$Q$52),"")</f>
        <v/>
      </c>
      <c r="R53" s="64" t="str">
        <f>IF(AND('Mapa final'!$AA$53="Muy Baja",'Mapa final'!$AC$53="Menor"),CONCATENATE("R8C",'Mapa final'!$Q$53),"")</f>
        <v/>
      </c>
      <c r="S53" s="64" t="str">
        <f>IF(AND('Mapa final'!$AA$54="Muy Baja",'Mapa final'!$AC$54="Menor"),CONCATENATE("R8C",'Mapa final'!$Q$54),"")</f>
        <v/>
      </c>
      <c r="T53" s="64" t="str">
        <f>IF(AND('Mapa final'!$AA$55="Muy Baja",'Mapa final'!$AC$55="Menor"),CONCATENATE("R8C",'Mapa final'!$Q$55),"")</f>
        <v/>
      </c>
      <c r="U53" s="65" t="str">
        <f>IF(AND('Mapa final'!$AA$56="Muy Baja",'Mapa final'!$AC$56="Menor"),CONCATENATE("R8C",'Mapa final'!$Q$56),"")</f>
        <v/>
      </c>
      <c r="V53" s="54" t="str">
        <f>IF(AND('Mapa final'!$AA$51="Muy Baja",'Mapa final'!$AC$51="Moderado"),CONCATENATE("R8C",'Mapa final'!$Q$51),"")</f>
        <v/>
      </c>
      <c r="W53" s="55" t="str">
        <f>IF(AND('Mapa final'!$AA$52="Muy Baja",'Mapa final'!$AC$52="Moderado"),CONCATENATE("R8C",'Mapa final'!$Q$52),"")</f>
        <v/>
      </c>
      <c r="X53" s="55" t="str">
        <f>IF(AND('Mapa final'!$AA$53="Muy Baja",'Mapa final'!$AC$53="Moderado"),CONCATENATE("R8C",'Mapa final'!$Q$53),"")</f>
        <v/>
      </c>
      <c r="Y53" s="55" t="str">
        <f>IF(AND('Mapa final'!$AA$54="Muy Baja",'Mapa final'!$AC$54="Moderado"),CONCATENATE("R8C",'Mapa final'!$Q$54),"")</f>
        <v/>
      </c>
      <c r="Z53" s="55" t="str">
        <f>IF(AND('Mapa final'!$AA$55="Muy Baja",'Mapa final'!$AC$55="Moderado"),CONCATENATE("R8C",'Mapa final'!$Q$55),"")</f>
        <v/>
      </c>
      <c r="AA53" s="56" t="str">
        <f>IF(AND('Mapa final'!$AA$56="Muy Baja",'Mapa final'!$AC$56="Moderado"),CONCATENATE("R8C",'Mapa final'!$Q$56),"")</f>
        <v/>
      </c>
      <c r="AB53" s="38" t="str">
        <f>IF(AND('Mapa final'!$AA$51="Muy Baja",'Mapa final'!$AC$51="Mayor"),CONCATENATE("R8C",'Mapa final'!$Q$51),"")</f>
        <v/>
      </c>
      <c r="AC53" s="39" t="str">
        <f>IF(AND('Mapa final'!$AA$52="Muy Baja",'Mapa final'!$AC$52="Mayor"),CONCATENATE("R8C",'Mapa final'!$Q$52),"")</f>
        <v/>
      </c>
      <c r="AD53" s="44" t="str">
        <f>IF(AND('Mapa final'!$AA$53="Muy Baja",'Mapa final'!$AC$53="Mayor"),CONCATENATE("R8C",'Mapa final'!$Q$53),"")</f>
        <v/>
      </c>
      <c r="AE53" s="44" t="str">
        <f>IF(AND('Mapa final'!$AA$54="Muy Baja",'Mapa final'!$AC$54="Mayor"),CONCATENATE("R8C",'Mapa final'!$Q$54),"")</f>
        <v/>
      </c>
      <c r="AF53" s="44" t="str">
        <f>IF(AND('Mapa final'!$AA$55="Muy Baja",'Mapa final'!$AC$55="Mayor"),CONCATENATE("R8C",'Mapa final'!$Q$55),"")</f>
        <v/>
      </c>
      <c r="AG53" s="40" t="str">
        <f>IF(AND('Mapa final'!$AA$56="Muy Baja",'Mapa final'!$AC$56="Mayor"),CONCATENATE("R8C",'Mapa final'!$Q$56),"")</f>
        <v/>
      </c>
      <c r="AH53" s="41" t="str">
        <f>IF(AND('Mapa final'!$AA$51="Muy Baja",'Mapa final'!$AC$51="Catastrófico"),CONCATENATE("R8C",'Mapa final'!$Q$51),"")</f>
        <v/>
      </c>
      <c r="AI53" s="42" t="str">
        <f>IF(AND('Mapa final'!$AA$52="Muy Baja",'Mapa final'!$AC$52="Catastrófico"),CONCATENATE("R8C",'Mapa final'!$Q$52),"")</f>
        <v/>
      </c>
      <c r="AJ53" s="42" t="str">
        <f>IF(AND('Mapa final'!$AA$53="Muy Baja",'Mapa final'!$AC$53="Catastrófico"),CONCATENATE("R8C",'Mapa final'!$Q$53),"")</f>
        <v/>
      </c>
      <c r="AK53" s="42" t="str">
        <f>IF(AND('Mapa final'!$AA$54="Muy Baja",'Mapa final'!$AC$54="Catastrófico"),CONCATENATE("R8C",'Mapa final'!$Q$54),"")</f>
        <v/>
      </c>
      <c r="AL53" s="42" t="str">
        <f>IF(AND('Mapa final'!$AA$55="Muy Baja",'Mapa final'!$AC$55="Catastrófico"),CONCATENATE("R8C",'Mapa final'!$Q$55),"")</f>
        <v/>
      </c>
      <c r="AM53" s="43" t="str">
        <f>IF(AND('Mapa final'!$AA$56="Muy Baja",'Mapa final'!$AC$56="Catastrófico"),CONCATENATE("R8C",'Mapa final'!$Q$56),"")</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89"/>
      <c r="C54" s="289"/>
      <c r="D54" s="290"/>
      <c r="E54" s="330"/>
      <c r="F54" s="331"/>
      <c r="G54" s="331"/>
      <c r="H54" s="331"/>
      <c r="I54" s="332"/>
      <c r="J54" s="63" t="str">
        <f>IF(AND('Mapa final'!$AA$57="Muy Baja",'Mapa final'!$AC$57="Leve"),CONCATENATE("R9C",'Mapa final'!$Q$57),"")</f>
        <v/>
      </c>
      <c r="K54" s="64" t="str">
        <f>IF(AND('Mapa final'!$AA$58="Muy Baja",'Mapa final'!$AC$58="Leve"),CONCATENATE("R9C",'Mapa final'!$Q$58),"")</f>
        <v/>
      </c>
      <c r="L54" s="64" t="str">
        <f>IF(AND('Mapa final'!$AA$59="Muy Baja",'Mapa final'!$AC$59="Leve"),CONCATENATE("R9C",'Mapa final'!$Q$59),"")</f>
        <v/>
      </c>
      <c r="M54" s="64" t="str">
        <f>IF(AND('Mapa final'!$AA$60="Muy Baja",'Mapa final'!$AC$60="Leve"),CONCATENATE("R9C",'Mapa final'!$Q$60),"")</f>
        <v/>
      </c>
      <c r="N54" s="64" t="str">
        <f>IF(AND('Mapa final'!$AA$61="Muy Baja",'Mapa final'!$AC$61="Leve"),CONCATENATE("R9C",'Mapa final'!$Q$61),"")</f>
        <v/>
      </c>
      <c r="O54" s="65" t="str">
        <f>IF(AND('Mapa final'!$AA$62="Muy Baja",'Mapa final'!$AC$62="Leve"),CONCATENATE("R9C",'Mapa final'!$Q$62),"")</f>
        <v/>
      </c>
      <c r="P54" s="63" t="str">
        <f>IF(AND('Mapa final'!$AA$57="Muy Baja",'Mapa final'!$AC$57="Menor"),CONCATENATE("R9C",'Mapa final'!$Q$57),"")</f>
        <v/>
      </c>
      <c r="Q54" s="64" t="str">
        <f>IF(AND('Mapa final'!$AA$58="Muy Baja",'Mapa final'!$AC$58="Menor"),CONCATENATE("R9C",'Mapa final'!$Q$58),"")</f>
        <v/>
      </c>
      <c r="R54" s="64" t="str">
        <f>IF(AND('Mapa final'!$AA$59="Muy Baja",'Mapa final'!$AC$59="Menor"),CONCATENATE("R9C",'Mapa final'!$Q$59),"")</f>
        <v/>
      </c>
      <c r="S54" s="64" t="str">
        <f>IF(AND('Mapa final'!$AA$60="Muy Baja",'Mapa final'!$AC$60="Menor"),CONCATENATE("R9C",'Mapa final'!$Q$60),"")</f>
        <v/>
      </c>
      <c r="T54" s="64" t="str">
        <f>IF(AND('Mapa final'!$AA$61="Muy Baja",'Mapa final'!$AC$61="Menor"),CONCATENATE("R9C",'Mapa final'!$Q$61),"")</f>
        <v/>
      </c>
      <c r="U54" s="65" t="str">
        <f>IF(AND('Mapa final'!$AA$62="Muy Baja",'Mapa final'!$AC$62="Menor"),CONCATENATE("R9C",'Mapa final'!$Q$62),"")</f>
        <v/>
      </c>
      <c r="V54" s="54" t="str">
        <f>IF(AND('Mapa final'!$AA$57="Muy Baja",'Mapa final'!$AC$57="Moderado"),CONCATENATE("R9C",'Mapa final'!$Q$57),"")</f>
        <v/>
      </c>
      <c r="W54" s="55" t="str">
        <f>IF(AND('Mapa final'!$AA$58="Muy Baja",'Mapa final'!$AC$58="Moderado"),CONCATENATE("R9C",'Mapa final'!$Q$58),"")</f>
        <v/>
      </c>
      <c r="X54" s="55" t="str">
        <f>IF(AND('Mapa final'!$AA$59="Muy Baja",'Mapa final'!$AC$59="Moderado"),CONCATENATE("R9C",'Mapa final'!$Q$59),"")</f>
        <v/>
      </c>
      <c r="Y54" s="55" t="str">
        <f>IF(AND('Mapa final'!$AA$60="Muy Baja",'Mapa final'!$AC$60="Moderado"),CONCATENATE("R9C",'Mapa final'!$Q$60),"")</f>
        <v/>
      </c>
      <c r="Z54" s="55" t="str">
        <f>IF(AND('Mapa final'!$AA$61="Muy Baja",'Mapa final'!$AC$61="Moderado"),CONCATENATE("R9C",'Mapa final'!$Q$61),"")</f>
        <v/>
      </c>
      <c r="AA54" s="56" t="str">
        <f>IF(AND('Mapa final'!$AA$62="Muy Baja",'Mapa final'!$AC$62="Moderado"),CONCATENATE("R9C",'Mapa final'!$Q$62),"")</f>
        <v/>
      </c>
      <c r="AB54" s="38" t="str">
        <f>IF(AND('Mapa final'!$AA$57="Muy Baja",'Mapa final'!$AC$57="Mayor"),CONCATENATE("R9C",'Mapa final'!$Q$57),"")</f>
        <v/>
      </c>
      <c r="AC54" s="39" t="str">
        <f>IF(AND('Mapa final'!$AA$58="Muy Baja",'Mapa final'!$AC$58="Mayor"),CONCATENATE("R9C",'Mapa final'!$Q$58),"")</f>
        <v/>
      </c>
      <c r="AD54" s="44" t="str">
        <f>IF(AND('Mapa final'!$AA$59="Muy Baja",'Mapa final'!$AC$59="Mayor"),CONCATENATE("R9C",'Mapa final'!$Q$59),"")</f>
        <v/>
      </c>
      <c r="AE54" s="44" t="str">
        <f>IF(AND('Mapa final'!$AA$60="Muy Baja",'Mapa final'!$AC$60="Mayor"),CONCATENATE("R9C",'Mapa final'!$Q$60),"")</f>
        <v/>
      </c>
      <c r="AF54" s="44" t="str">
        <f>IF(AND('Mapa final'!$AA$61="Muy Baja",'Mapa final'!$AC$61="Mayor"),CONCATENATE("R9C",'Mapa final'!$Q$61),"")</f>
        <v/>
      </c>
      <c r="AG54" s="40" t="str">
        <f>IF(AND('Mapa final'!$AA$62="Muy Baja",'Mapa final'!$AC$62="Mayor"),CONCATENATE("R9C",'Mapa final'!$Q$62),"")</f>
        <v/>
      </c>
      <c r="AH54" s="41" t="str">
        <f>IF(AND('Mapa final'!$AA$57="Muy Baja",'Mapa final'!$AC$57="Catastrófico"),CONCATENATE("R9C",'Mapa final'!$Q$57),"")</f>
        <v/>
      </c>
      <c r="AI54" s="42" t="str">
        <f>IF(AND('Mapa final'!$AA$58="Muy Baja",'Mapa final'!$AC$58="Catastrófico"),CONCATENATE("R9C",'Mapa final'!$Q$58),"")</f>
        <v/>
      </c>
      <c r="AJ54" s="42" t="str">
        <f>IF(AND('Mapa final'!$AA$59="Muy Baja",'Mapa final'!$AC$59="Catastrófico"),CONCATENATE("R9C",'Mapa final'!$Q$59),"")</f>
        <v/>
      </c>
      <c r="AK54" s="42" t="str">
        <f>IF(AND('Mapa final'!$AA$60="Muy Baja",'Mapa final'!$AC$60="Catastrófico"),CONCATENATE("R9C",'Mapa final'!$Q$60),"")</f>
        <v/>
      </c>
      <c r="AL54" s="42" t="str">
        <f>IF(AND('Mapa final'!$AA$61="Muy Baja",'Mapa final'!$AC$61="Catastrófico"),CONCATENATE("R9C",'Mapa final'!$Q$61),"")</f>
        <v/>
      </c>
      <c r="AM54" s="43" t="str">
        <f>IF(AND('Mapa final'!$AA$62="Muy Baja",'Mapa final'!$AC$62="Catastrófico"),CONCATENATE("R9C",'Mapa final'!$Q$62),"")</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89"/>
      <c r="C55" s="289"/>
      <c r="D55" s="290"/>
      <c r="E55" s="333"/>
      <c r="F55" s="334"/>
      <c r="G55" s="334"/>
      <c r="H55" s="334"/>
      <c r="I55" s="335"/>
      <c r="J55" s="66" t="str">
        <f>IF(AND('Mapa final'!$AA$63="Muy Baja",'Mapa final'!$AC$63="Leve"),CONCATENATE("R10C",'Mapa final'!$Q$63),"")</f>
        <v/>
      </c>
      <c r="K55" s="67" t="str">
        <f>IF(AND('Mapa final'!$AA$64="Muy Baja",'Mapa final'!$AC$64="Leve"),CONCATENATE("R10C",'Mapa final'!$Q$64),"")</f>
        <v/>
      </c>
      <c r="L55" s="67" t="str">
        <f>IF(AND('Mapa final'!$AA$65="Muy Baja",'Mapa final'!$AC$65="Leve"),CONCATENATE("R10C",'Mapa final'!$Q$65),"")</f>
        <v/>
      </c>
      <c r="M55" s="67" t="str">
        <f>IF(AND('Mapa final'!$AA$66="Muy Baja",'Mapa final'!$AC$66="Leve"),CONCATENATE("R10C",'Mapa final'!$Q$66),"")</f>
        <v/>
      </c>
      <c r="N55" s="67" t="str">
        <f>IF(AND('Mapa final'!$AA$67="Muy Baja",'Mapa final'!$AC$67="Leve"),CONCATENATE("R10C",'Mapa final'!$Q$67),"")</f>
        <v/>
      </c>
      <c r="O55" s="68" t="str">
        <f>IF(AND('Mapa final'!$AA$68="Muy Baja",'Mapa final'!$AC$68="Leve"),CONCATENATE("R10C",'Mapa final'!$Q$68),"")</f>
        <v/>
      </c>
      <c r="P55" s="66" t="str">
        <f>IF(AND('Mapa final'!$AA$63="Muy Baja",'Mapa final'!$AC$63="Menor"),CONCATENATE("R10C",'Mapa final'!$Q$63),"")</f>
        <v/>
      </c>
      <c r="Q55" s="67" t="str">
        <f>IF(AND('Mapa final'!$AA$64="Muy Baja",'Mapa final'!$AC$64="Menor"),CONCATENATE("R10C",'Mapa final'!$Q$64),"")</f>
        <v/>
      </c>
      <c r="R55" s="67" t="str">
        <f>IF(AND('Mapa final'!$AA$65="Muy Baja",'Mapa final'!$AC$65="Menor"),CONCATENATE("R10C",'Mapa final'!$Q$65),"")</f>
        <v/>
      </c>
      <c r="S55" s="67" t="str">
        <f>IF(AND('Mapa final'!$AA$66="Muy Baja",'Mapa final'!$AC$66="Menor"),CONCATENATE("R10C",'Mapa final'!$Q$66),"")</f>
        <v/>
      </c>
      <c r="T55" s="67" t="str">
        <f>IF(AND('Mapa final'!$AA$67="Muy Baja",'Mapa final'!$AC$67="Menor"),CONCATENATE("R10C",'Mapa final'!$Q$67),"")</f>
        <v/>
      </c>
      <c r="U55" s="68" t="str">
        <f>IF(AND('Mapa final'!$AA$68="Muy Baja",'Mapa final'!$AC$68="Menor"),CONCATENATE("R10C",'Mapa final'!$Q$68),"")</f>
        <v/>
      </c>
      <c r="V55" s="57" t="str">
        <f>IF(AND('Mapa final'!$AA$63="Muy Baja",'Mapa final'!$AC$63="Moderado"),CONCATENATE("R10C",'Mapa final'!$Q$63),"")</f>
        <v/>
      </c>
      <c r="W55" s="58" t="str">
        <f>IF(AND('Mapa final'!$AA$64="Muy Baja",'Mapa final'!$AC$64="Moderado"),CONCATENATE("R10C",'Mapa final'!$Q$64),"")</f>
        <v/>
      </c>
      <c r="X55" s="58" t="str">
        <f>IF(AND('Mapa final'!$AA$65="Muy Baja",'Mapa final'!$AC$65="Moderado"),CONCATENATE("R10C",'Mapa final'!$Q$65),"")</f>
        <v/>
      </c>
      <c r="Y55" s="58" t="str">
        <f>IF(AND('Mapa final'!$AA$66="Muy Baja",'Mapa final'!$AC$66="Moderado"),CONCATENATE("R10C",'Mapa final'!$Q$66),"")</f>
        <v/>
      </c>
      <c r="Z55" s="58" t="str">
        <f>IF(AND('Mapa final'!$AA$67="Muy Baja",'Mapa final'!$AC$67="Moderado"),CONCATENATE("R10C",'Mapa final'!$Q$67),"")</f>
        <v/>
      </c>
      <c r="AA55" s="59" t="str">
        <f>IF(AND('Mapa final'!$AA$68="Muy Baja",'Mapa final'!$AC$68="Moderado"),CONCATENATE("R10C",'Mapa final'!$Q$68),"")</f>
        <v/>
      </c>
      <c r="AB55" s="45" t="str">
        <f>IF(AND('Mapa final'!$AA$63="Muy Baja",'Mapa final'!$AC$63="Mayor"),CONCATENATE("R10C",'Mapa final'!$Q$63),"")</f>
        <v/>
      </c>
      <c r="AC55" s="46" t="str">
        <f>IF(AND('Mapa final'!$AA$64="Muy Baja",'Mapa final'!$AC$64="Mayor"),CONCATENATE("R10C",'Mapa final'!$Q$64),"")</f>
        <v/>
      </c>
      <c r="AD55" s="46" t="str">
        <f>IF(AND('Mapa final'!$AA$65="Muy Baja",'Mapa final'!$AC$65="Mayor"),CONCATENATE("R10C",'Mapa final'!$Q$65),"")</f>
        <v/>
      </c>
      <c r="AE55" s="46" t="str">
        <f>IF(AND('Mapa final'!$AA$66="Muy Baja",'Mapa final'!$AC$66="Mayor"),CONCATENATE("R10C",'Mapa final'!$Q$66),"")</f>
        <v/>
      </c>
      <c r="AF55" s="46" t="str">
        <f>IF(AND('Mapa final'!$AA$67="Muy Baja",'Mapa final'!$AC$67="Mayor"),CONCATENATE("R10C",'Mapa final'!$Q$67),"")</f>
        <v/>
      </c>
      <c r="AG55" s="47" t="str">
        <f>IF(AND('Mapa final'!$AA$68="Muy Baja",'Mapa final'!$AC$68="Mayor"),CONCATENATE("R10C",'Mapa final'!$Q$68),"")</f>
        <v/>
      </c>
      <c r="AH55" s="48" t="str">
        <f>IF(AND('Mapa final'!$AA$63="Muy Baja",'Mapa final'!$AC$63="Catastrófico"),CONCATENATE("R10C",'Mapa final'!$Q$63),"")</f>
        <v/>
      </c>
      <c r="AI55" s="49" t="str">
        <f>IF(AND('Mapa final'!$AA$64="Muy Baja",'Mapa final'!$AC$64="Catastrófico"),CONCATENATE("R10C",'Mapa final'!$Q$64),"")</f>
        <v/>
      </c>
      <c r="AJ55" s="49" t="str">
        <f>IF(AND('Mapa final'!$AA$65="Muy Baja",'Mapa final'!$AC$65="Catastrófico"),CONCATENATE("R10C",'Mapa final'!$Q$65),"")</f>
        <v/>
      </c>
      <c r="AK55" s="49" t="str">
        <f>IF(AND('Mapa final'!$AA$66="Muy Baja",'Mapa final'!$AC$66="Catastrófico"),CONCATENATE("R10C",'Mapa final'!$Q$66),"")</f>
        <v/>
      </c>
      <c r="AL55" s="49" t="str">
        <f>IF(AND('Mapa final'!$AA$67="Muy Baja",'Mapa final'!$AC$67="Catastrófico"),CONCATENATE("R10C",'Mapa final'!$Q$67),"")</f>
        <v/>
      </c>
      <c r="AM55" s="50" t="str">
        <f>IF(AND('Mapa final'!$AA$68="Muy Baja",'Mapa final'!$AC$68="Catastrófico"),CONCATENATE("R10C",'Mapa final'!$Q$68),"")</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7" t="s">
        <v>108</v>
      </c>
      <c r="K56" s="328"/>
      <c r="L56" s="328"/>
      <c r="M56" s="328"/>
      <c r="N56" s="328"/>
      <c r="O56" s="329"/>
      <c r="P56" s="327" t="s">
        <v>107</v>
      </c>
      <c r="Q56" s="328"/>
      <c r="R56" s="328"/>
      <c r="S56" s="328"/>
      <c r="T56" s="328"/>
      <c r="U56" s="329"/>
      <c r="V56" s="327" t="s">
        <v>106</v>
      </c>
      <c r="W56" s="328"/>
      <c r="X56" s="328"/>
      <c r="Y56" s="328"/>
      <c r="Z56" s="328"/>
      <c r="AA56" s="329"/>
      <c r="AB56" s="327" t="s">
        <v>105</v>
      </c>
      <c r="AC56" s="336"/>
      <c r="AD56" s="328"/>
      <c r="AE56" s="328"/>
      <c r="AF56" s="328"/>
      <c r="AG56" s="329"/>
      <c r="AH56" s="327" t="s">
        <v>104</v>
      </c>
      <c r="AI56" s="328"/>
      <c r="AJ56" s="328"/>
      <c r="AK56" s="328"/>
      <c r="AL56" s="328"/>
      <c r="AM56" s="329"/>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30"/>
      <c r="K57" s="331"/>
      <c r="L57" s="331"/>
      <c r="M57" s="331"/>
      <c r="N57" s="331"/>
      <c r="O57" s="332"/>
      <c r="P57" s="330"/>
      <c r="Q57" s="331"/>
      <c r="R57" s="331"/>
      <c r="S57" s="331"/>
      <c r="T57" s="331"/>
      <c r="U57" s="332"/>
      <c r="V57" s="330"/>
      <c r="W57" s="331"/>
      <c r="X57" s="331"/>
      <c r="Y57" s="331"/>
      <c r="Z57" s="331"/>
      <c r="AA57" s="332"/>
      <c r="AB57" s="330"/>
      <c r="AC57" s="331"/>
      <c r="AD57" s="331"/>
      <c r="AE57" s="331"/>
      <c r="AF57" s="331"/>
      <c r="AG57" s="332"/>
      <c r="AH57" s="330"/>
      <c r="AI57" s="331"/>
      <c r="AJ57" s="331"/>
      <c r="AK57" s="331"/>
      <c r="AL57" s="331"/>
      <c r="AM57" s="332"/>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30"/>
      <c r="K58" s="331"/>
      <c r="L58" s="331"/>
      <c r="M58" s="331"/>
      <c r="N58" s="331"/>
      <c r="O58" s="332"/>
      <c r="P58" s="330"/>
      <c r="Q58" s="331"/>
      <c r="R58" s="331"/>
      <c r="S58" s="331"/>
      <c r="T58" s="331"/>
      <c r="U58" s="332"/>
      <c r="V58" s="330"/>
      <c r="W58" s="331"/>
      <c r="X58" s="331"/>
      <c r="Y58" s="331"/>
      <c r="Z58" s="331"/>
      <c r="AA58" s="332"/>
      <c r="AB58" s="330"/>
      <c r="AC58" s="331"/>
      <c r="AD58" s="331"/>
      <c r="AE58" s="331"/>
      <c r="AF58" s="331"/>
      <c r="AG58" s="332"/>
      <c r="AH58" s="330"/>
      <c r="AI58" s="331"/>
      <c r="AJ58" s="331"/>
      <c r="AK58" s="331"/>
      <c r="AL58" s="331"/>
      <c r="AM58" s="332"/>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30"/>
      <c r="K59" s="331"/>
      <c r="L59" s="331"/>
      <c r="M59" s="331"/>
      <c r="N59" s="331"/>
      <c r="O59" s="332"/>
      <c r="P59" s="330"/>
      <c r="Q59" s="331"/>
      <c r="R59" s="331"/>
      <c r="S59" s="331"/>
      <c r="T59" s="331"/>
      <c r="U59" s="332"/>
      <c r="V59" s="330"/>
      <c r="W59" s="331"/>
      <c r="X59" s="331"/>
      <c r="Y59" s="331"/>
      <c r="Z59" s="331"/>
      <c r="AA59" s="332"/>
      <c r="AB59" s="330"/>
      <c r="AC59" s="331"/>
      <c r="AD59" s="331"/>
      <c r="AE59" s="331"/>
      <c r="AF59" s="331"/>
      <c r="AG59" s="332"/>
      <c r="AH59" s="330"/>
      <c r="AI59" s="331"/>
      <c r="AJ59" s="331"/>
      <c r="AK59" s="331"/>
      <c r="AL59" s="331"/>
      <c r="AM59" s="332"/>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30"/>
      <c r="K60" s="331"/>
      <c r="L60" s="331"/>
      <c r="M60" s="331"/>
      <c r="N60" s="331"/>
      <c r="O60" s="332"/>
      <c r="P60" s="330"/>
      <c r="Q60" s="331"/>
      <c r="R60" s="331"/>
      <c r="S60" s="331"/>
      <c r="T60" s="331"/>
      <c r="U60" s="332"/>
      <c r="V60" s="330"/>
      <c r="W60" s="331"/>
      <c r="X60" s="331"/>
      <c r="Y60" s="331"/>
      <c r="Z60" s="331"/>
      <c r="AA60" s="332"/>
      <c r="AB60" s="330"/>
      <c r="AC60" s="331"/>
      <c r="AD60" s="331"/>
      <c r="AE60" s="331"/>
      <c r="AF60" s="331"/>
      <c r="AG60" s="332"/>
      <c r="AH60" s="330"/>
      <c r="AI60" s="331"/>
      <c r="AJ60" s="331"/>
      <c r="AK60" s="331"/>
      <c r="AL60" s="331"/>
      <c r="AM60" s="332"/>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33"/>
      <c r="K61" s="334"/>
      <c r="L61" s="334"/>
      <c r="M61" s="334"/>
      <c r="N61" s="334"/>
      <c r="O61" s="335"/>
      <c r="P61" s="333"/>
      <c r="Q61" s="334"/>
      <c r="R61" s="334"/>
      <c r="S61" s="334"/>
      <c r="T61" s="334"/>
      <c r="U61" s="335"/>
      <c r="V61" s="333"/>
      <c r="W61" s="334"/>
      <c r="X61" s="334"/>
      <c r="Y61" s="334"/>
      <c r="Z61" s="334"/>
      <c r="AA61" s="335"/>
      <c r="AB61" s="333"/>
      <c r="AC61" s="334"/>
      <c r="AD61" s="334"/>
      <c r="AE61" s="334"/>
      <c r="AF61" s="334"/>
      <c r="AG61" s="335"/>
      <c r="AH61" s="333"/>
      <c r="AI61" s="334"/>
      <c r="AJ61" s="334"/>
      <c r="AK61" s="334"/>
      <c r="AL61" s="334"/>
      <c r="AM61" s="335"/>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7" t="s">
        <v>51</v>
      </c>
      <c r="C1" s="377"/>
      <c r="D1" s="377"/>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D4" sqref="D4"/>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78" t="s">
        <v>59</v>
      </c>
      <c r="C1" s="378"/>
      <c r="D1" s="378"/>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IF(NOT(ISERROR(MATCH(G210,_xlfn.ANCHORARRAY(B221),0))),F223&amp;"Por favor no seleccionar los criterios de impacto",G210)</f>
        <v>❌Por favor no seleccionar los criterios de impacto</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str" cm="1">
        <f t="array" ref="B221:B223">_xlfn.UNIQUE(Tabla1[[#All],[Criterios]])</f>
        <v>Criterios</v>
      </c>
      <c r="C221" s="18"/>
      <c r="E221" t="s">
        <v>114</v>
      </c>
      <c r="F221" t="str">
        <f t="shared" si="0"/>
        <v xml:space="preserve">     El riesgo afecta la imagen de la entidad a nivel nacional, con efecto publicitarios sostenible a nivel país</v>
      </c>
    </row>
    <row r="222" spans="1:8" x14ac:dyDescent="0.25">
      <c r="A222" s="70"/>
      <c r="B222" s="18" t="str">
        <v>Afectación Económica o presupuestal</v>
      </c>
      <c r="C222" s="18"/>
    </row>
    <row r="223" spans="1:8" x14ac:dyDescent="0.25">
      <c r="B223" s="18" t="str">
        <v>Pérdida Reputacional</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9" t="s">
        <v>74</v>
      </c>
      <c r="C1" s="380"/>
      <c r="D1" s="380"/>
      <c r="E1" s="380"/>
      <c r="F1" s="381"/>
    </row>
    <row r="2" spans="2:6" ht="16.5" thickBot="1" x14ac:dyDescent="0.3">
      <c r="B2" s="76"/>
      <c r="C2" s="76"/>
      <c r="D2" s="76"/>
      <c r="E2" s="76"/>
      <c r="F2" s="76"/>
    </row>
    <row r="3" spans="2:6" ht="16.5" thickBot="1" x14ac:dyDescent="0.25">
      <c r="B3" s="383" t="s">
        <v>60</v>
      </c>
      <c r="C3" s="384"/>
      <c r="D3" s="384"/>
      <c r="E3" s="137" t="s">
        <v>61</v>
      </c>
      <c r="F3" s="138" t="s">
        <v>62</v>
      </c>
    </row>
    <row r="4" spans="2:6" ht="31.5" x14ac:dyDescent="0.2">
      <c r="B4" s="385" t="s">
        <v>63</v>
      </c>
      <c r="C4" s="387" t="s">
        <v>12</v>
      </c>
      <c r="D4" s="77" t="s">
        <v>13</v>
      </c>
      <c r="E4" s="78" t="s">
        <v>64</v>
      </c>
      <c r="F4" s="79">
        <v>0.25</v>
      </c>
    </row>
    <row r="5" spans="2:6" ht="47.25" x14ac:dyDescent="0.2">
      <c r="B5" s="386"/>
      <c r="C5" s="388"/>
      <c r="D5" s="80" t="s">
        <v>14</v>
      </c>
      <c r="E5" s="81" t="s">
        <v>65</v>
      </c>
      <c r="F5" s="82">
        <v>0.15</v>
      </c>
    </row>
    <row r="6" spans="2:6" ht="47.25" x14ac:dyDescent="0.2">
      <c r="B6" s="386"/>
      <c r="C6" s="388"/>
      <c r="D6" s="80" t="s">
        <v>15</v>
      </c>
      <c r="E6" s="81" t="s">
        <v>66</v>
      </c>
      <c r="F6" s="82">
        <v>0.1</v>
      </c>
    </row>
    <row r="7" spans="2:6" ht="63" x14ac:dyDescent="0.2">
      <c r="B7" s="386"/>
      <c r="C7" s="388" t="s">
        <v>16</v>
      </c>
      <c r="D7" s="80" t="s">
        <v>9</v>
      </c>
      <c r="E7" s="81" t="s">
        <v>67</v>
      </c>
      <c r="F7" s="82">
        <v>0.25</v>
      </c>
    </row>
    <row r="8" spans="2:6" ht="31.5" x14ac:dyDescent="0.2">
      <c r="B8" s="386"/>
      <c r="C8" s="388"/>
      <c r="D8" s="80" t="s">
        <v>8</v>
      </c>
      <c r="E8" s="81" t="s">
        <v>68</v>
      </c>
      <c r="F8" s="82">
        <v>0.15</v>
      </c>
    </row>
    <row r="9" spans="2:6" ht="47.25" x14ac:dyDescent="0.2">
      <c r="B9" s="386" t="s">
        <v>155</v>
      </c>
      <c r="C9" s="388" t="s">
        <v>17</v>
      </c>
      <c r="D9" s="80" t="s">
        <v>18</v>
      </c>
      <c r="E9" s="81" t="s">
        <v>69</v>
      </c>
      <c r="F9" s="83" t="s">
        <v>70</v>
      </c>
    </row>
    <row r="10" spans="2:6" ht="63" x14ac:dyDescent="0.2">
      <c r="B10" s="386"/>
      <c r="C10" s="388"/>
      <c r="D10" s="80" t="s">
        <v>19</v>
      </c>
      <c r="E10" s="81" t="s">
        <v>71</v>
      </c>
      <c r="F10" s="83" t="s">
        <v>70</v>
      </c>
    </row>
    <row r="11" spans="2:6" ht="47.25" x14ac:dyDescent="0.2">
      <c r="B11" s="386"/>
      <c r="C11" s="388" t="s">
        <v>20</v>
      </c>
      <c r="D11" s="80" t="s">
        <v>21</v>
      </c>
      <c r="E11" s="81" t="s">
        <v>72</v>
      </c>
      <c r="F11" s="83" t="s">
        <v>70</v>
      </c>
    </row>
    <row r="12" spans="2:6" ht="47.25" x14ac:dyDescent="0.2">
      <c r="B12" s="386"/>
      <c r="C12" s="388"/>
      <c r="D12" s="80" t="s">
        <v>22</v>
      </c>
      <c r="E12" s="81" t="s">
        <v>73</v>
      </c>
      <c r="F12" s="83" t="s">
        <v>70</v>
      </c>
    </row>
    <row r="13" spans="2:6" ht="31.5" x14ac:dyDescent="0.2">
      <c r="B13" s="386"/>
      <c r="C13" s="388" t="s">
        <v>23</v>
      </c>
      <c r="D13" s="80" t="s">
        <v>115</v>
      </c>
      <c r="E13" s="81" t="s">
        <v>118</v>
      </c>
      <c r="F13" s="83" t="s">
        <v>70</v>
      </c>
    </row>
    <row r="14" spans="2:6" ht="32.25" thickBot="1" x14ac:dyDescent="0.25">
      <c r="B14" s="389"/>
      <c r="C14" s="390"/>
      <c r="D14" s="84" t="s">
        <v>116</v>
      </c>
      <c r="E14" s="85" t="s">
        <v>117</v>
      </c>
      <c r="F14" s="86" t="s">
        <v>70</v>
      </c>
    </row>
    <row r="15" spans="2:6" ht="49.5" customHeight="1" x14ac:dyDescent="0.2">
      <c r="B15" s="382" t="s">
        <v>152</v>
      </c>
      <c r="C15" s="382"/>
      <c r="D15" s="382"/>
      <c r="E15" s="382"/>
      <c r="F15" s="382"/>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2022-02-07T15:16:26Z</dcterms:modified>
</cp:coreProperties>
</file>