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disco D\INDUPAL\CONTRALORIA MUNICIPAL\3. VALORACION DE RIESGOS\"/>
    </mc:Choice>
  </mc:AlternateContent>
  <bookViews>
    <workbookView xWindow="-120" yWindow="-120" windowWidth="20730" windowHeight="11160" tabRatio="882" activeTab="1"/>
  </bookViews>
  <sheets>
    <sheet name="Ins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concurrentCalc="0"/>
  <pivotCaches>
    <pivotCache cacheId="0" r:id="rId10"/>
  </pivotCaches>
</workbook>
</file>

<file path=xl/calcChain.xml><?xml version="1.0" encoding="utf-8"?>
<calcChain xmlns="http://schemas.openxmlformats.org/spreadsheetml/2006/main">
  <c r="J9" i="1" l="1"/>
  <c r="K9" i="1"/>
  <c r="S13" i="1"/>
  <c r="S10" i="1"/>
  <c r="S9" i="1"/>
  <c r="V128" i="1"/>
  <c r="S128" i="1"/>
  <c r="V127" i="1"/>
  <c r="S127" i="1"/>
  <c r="V126" i="1"/>
  <c r="S126" i="1"/>
  <c r="V125" i="1"/>
  <c r="S125" i="1"/>
  <c r="V124" i="1"/>
  <c r="S124" i="1"/>
  <c r="V123" i="1"/>
  <c r="S123" i="1"/>
  <c r="J123" i="1"/>
  <c r="V122" i="1"/>
  <c r="S122" i="1"/>
  <c r="V121" i="1"/>
  <c r="S121" i="1"/>
  <c r="V120" i="1"/>
  <c r="S120" i="1"/>
  <c r="V119" i="1"/>
  <c r="S119" i="1"/>
  <c r="AD120" i="1"/>
  <c r="AC120" i="1"/>
  <c r="V118" i="1"/>
  <c r="S118" i="1"/>
  <c r="Z119" i="1"/>
  <c r="V117" i="1"/>
  <c r="S117" i="1"/>
  <c r="J117" i="1"/>
  <c r="V116" i="1"/>
  <c r="S116" i="1"/>
  <c r="V115" i="1"/>
  <c r="S115" i="1"/>
  <c r="V114" i="1"/>
  <c r="S114" i="1"/>
  <c r="V113" i="1"/>
  <c r="S113" i="1"/>
  <c r="V112" i="1"/>
  <c r="S112" i="1"/>
  <c r="V111" i="1"/>
  <c r="S111" i="1"/>
  <c r="AD111" i="1"/>
  <c r="AC111" i="1"/>
  <c r="J111" i="1"/>
  <c r="K111" i="1"/>
  <c r="V110" i="1"/>
  <c r="S110" i="1"/>
  <c r="V109" i="1"/>
  <c r="S109" i="1"/>
  <c r="V108" i="1"/>
  <c r="S108" i="1"/>
  <c r="V107" i="1"/>
  <c r="S107" i="1"/>
  <c r="V106" i="1"/>
  <c r="S106" i="1"/>
  <c r="V105" i="1"/>
  <c r="S105" i="1"/>
  <c r="J105" i="1"/>
  <c r="V104" i="1"/>
  <c r="S104" i="1"/>
  <c r="V103" i="1"/>
  <c r="S103" i="1"/>
  <c r="V102" i="1"/>
  <c r="S102" i="1"/>
  <c r="V101" i="1"/>
  <c r="S101" i="1"/>
  <c r="V100" i="1"/>
  <c r="S100" i="1"/>
  <c r="V99" i="1"/>
  <c r="S99" i="1"/>
  <c r="AD99" i="1"/>
  <c r="AC99" i="1"/>
  <c r="J99" i="1"/>
  <c r="K99" i="1"/>
  <c r="V98" i="1"/>
  <c r="S98" i="1"/>
  <c r="V97" i="1"/>
  <c r="S97" i="1"/>
  <c r="V96" i="1"/>
  <c r="S96" i="1"/>
  <c r="V95" i="1"/>
  <c r="S95" i="1"/>
  <c r="V94" i="1"/>
  <c r="S94" i="1"/>
  <c r="V93" i="1"/>
  <c r="S93" i="1"/>
  <c r="J93" i="1"/>
  <c r="V92" i="1"/>
  <c r="S92" i="1"/>
  <c r="V91" i="1"/>
  <c r="S91" i="1"/>
  <c r="V90" i="1"/>
  <c r="S90" i="1"/>
  <c r="V89" i="1"/>
  <c r="S89" i="1"/>
  <c r="V88" i="1"/>
  <c r="S88" i="1"/>
  <c r="V87" i="1"/>
  <c r="S87" i="1"/>
  <c r="AD87" i="1"/>
  <c r="AC87" i="1"/>
  <c r="J87" i="1"/>
  <c r="K87" i="1"/>
  <c r="V86" i="1"/>
  <c r="S86" i="1"/>
  <c r="V85" i="1"/>
  <c r="S85" i="1"/>
  <c r="V84" i="1"/>
  <c r="S84" i="1"/>
  <c r="V83" i="1"/>
  <c r="S83" i="1"/>
  <c r="V82" i="1"/>
  <c r="S82" i="1"/>
  <c r="Z83" i="1"/>
  <c r="V81" i="1"/>
  <c r="S81" i="1"/>
  <c r="J81" i="1"/>
  <c r="V80" i="1"/>
  <c r="S80" i="1"/>
  <c r="V79" i="1"/>
  <c r="S79" i="1"/>
  <c r="V78" i="1"/>
  <c r="S78" i="1"/>
  <c r="V77" i="1"/>
  <c r="S77" i="1"/>
  <c r="V76" i="1"/>
  <c r="S76" i="1"/>
  <c r="V75" i="1"/>
  <c r="S75" i="1"/>
  <c r="AD75" i="1"/>
  <c r="AC75" i="1"/>
  <c r="J75" i="1"/>
  <c r="K75" i="1"/>
  <c r="V74" i="1"/>
  <c r="S74" i="1"/>
  <c r="V73" i="1"/>
  <c r="S73" i="1"/>
  <c r="V72" i="1"/>
  <c r="S72" i="1"/>
  <c r="AD73" i="1"/>
  <c r="AC73" i="1"/>
  <c r="V71" i="1"/>
  <c r="S71" i="1"/>
  <c r="V70" i="1"/>
  <c r="S70" i="1"/>
  <c r="V69" i="1"/>
  <c r="S69" i="1"/>
  <c r="Z69" i="1"/>
  <c r="AB69" i="1"/>
  <c r="J69" i="1"/>
  <c r="M71" i="1"/>
  <c r="M114" i="1"/>
  <c r="M107" i="1"/>
  <c r="M101" i="1"/>
  <c r="M83" i="1"/>
  <c r="M122" i="1"/>
  <c r="M79" i="1"/>
  <c r="M76" i="1"/>
  <c r="M77" i="1"/>
  <c r="M112" i="1"/>
  <c r="M125" i="1"/>
  <c r="M120" i="1"/>
  <c r="M108" i="1"/>
  <c r="M82" i="1"/>
  <c r="M109" i="1"/>
  <c r="M118" i="1"/>
  <c r="M127" i="1"/>
  <c r="M113" i="1"/>
  <c r="M98" i="1"/>
  <c r="M104" i="1"/>
  <c r="M84" i="1"/>
  <c r="M94" i="1"/>
  <c r="M89" i="1"/>
  <c r="M110" i="1"/>
  <c r="M119" i="1"/>
  <c r="M126" i="1"/>
  <c r="M92" i="1"/>
  <c r="M97" i="1"/>
  <c r="M80" i="1"/>
  <c r="M78" i="1"/>
  <c r="M90" i="1"/>
  <c r="M73" i="1"/>
  <c r="M121" i="1"/>
  <c r="M72" i="1"/>
  <c r="M70" i="1"/>
  <c r="M124" i="1"/>
  <c r="M91" i="1"/>
  <c r="M115" i="1"/>
  <c r="M128" i="1"/>
  <c r="M103" i="1"/>
  <c r="M96" i="1"/>
  <c r="M74" i="1"/>
  <c r="M86" i="1"/>
  <c r="M95" i="1"/>
  <c r="M100" i="1"/>
  <c r="M106" i="1"/>
  <c r="M85" i="1"/>
  <c r="M116" i="1"/>
  <c r="M88" i="1"/>
  <c r="M102" i="1"/>
  <c r="Z95" i="1"/>
  <c r="Z109" i="1"/>
  <c r="AD92" i="1"/>
  <c r="AC92" i="1"/>
  <c r="AD126" i="1"/>
  <c r="AC126" i="1"/>
  <c r="Z80" i="1"/>
  <c r="AB80" i="1"/>
  <c r="AD109" i="1"/>
  <c r="AC109" i="1"/>
  <c r="AD116" i="1"/>
  <c r="AC116" i="1"/>
  <c r="AD113" i="1"/>
  <c r="AC113" i="1"/>
  <c r="AD124" i="1"/>
  <c r="AC124" i="1"/>
  <c r="AD102" i="1"/>
  <c r="AC102" i="1"/>
  <c r="AD82" i="1"/>
  <c r="AC82" i="1"/>
  <c r="AD89" i="1"/>
  <c r="AC89" i="1"/>
  <c r="AD106" i="1"/>
  <c r="AC106" i="1"/>
  <c r="Z111" i="1"/>
  <c r="AB111" i="1"/>
  <c r="Z102" i="1"/>
  <c r="AB102" i="1"/>
  <c r="AD119" i="1"/>
  <c r="AC119" i="1"/>
  <c r="AD69" i="1"/>
  <c r="AC69" i="1"/>
  <c r="Z73" i="1"/>
  <c r="AB73" i="1"/>
  <c r="AD77" i="1"/>
  <c r="AC77" i="1"/>
  <c r="Z92" i="1"/>
  <c r="AD95" i="1"/>
  <c r="AC95" i="1"/>
  <c r="AD80" i="1"/>
  <c r="AC80" i="1"/>
  <c r="AD74" i="1"/>
  <c r="AC74" i="1"/>
  <c r="AD79" i="1"/>
  <c r="AC79" i="1"/>
  <c r="AD103" i="1"/>
  <c r="AC103" i="1"/>
  <c r="Z126" i="1"/>
  <c r="AB126" i="1"/>
  <c r="Z123" i="1"/>
  <c r="AB123" i="1"/>
  <c r="Z112" i="1"/>
  <c r="AB112" i="1"/>
  <c r="AD72" i="1"/>
  <c r="AC72" i="1"/>
  <c r="Z76" i="1"/>
  <c r="AB76" i="1"/>
  <c r="Z88" i="1"/>
  <c r="AA88" i="1"/>
  <c r="Z105" i="1"/>
  <c r="AB105" i="1"/>
  <c r="AD112" i="1"/>
  <c r="AC112" i="1"/>
  <c r="AD76" i="1"/>
  <c r="AC76" i="1"/>
  <c r="AD88" i="1"/>
  <c r="AC88" i="1"/>
  <c r="AD96" i="1"/>
  <c r="AC96" i="1"/>
  <c r="AD105" i="1"/>
  <c r="AC105" i="1"/>
  <c r="AD110" i="1"/>
  <c r="AC110" i="1"/>
  <c r="AD114" i="1"/>
  <c r="AC114" i="1"/>
  <c r="Z116" i="1"/>
  <c r="AB116" i="1"/>
  <c r="AD70" i="1"/>
  <c r="AC70" i="1"/>
  <c r="AD127" i="1"/>
  <c r="AC127" i="1"/>
  <c r="AA83" i="1"/>
  <c r="AB83" i="1"/>
  <c r="AD86" i="1"/>
  <c r="AC86" i="1"/>
  <c r="Z86" i="1"/>
  <c r="AD98" i="1"/>
  <c r="AC98" i="1"/>
  <c r="Z98" i="1"/>
  <c r="AD97" i="1"/>
  <c r="AC97" i="1"/>
  <c r="Z97" i="1"/>
  <c r="AD122" i="1"/>
  <c r="AC122" i="1"/>
  <c r="Z122" i="1"/>
  <c r="K69" i="1"/>
  <c r="AA69" i="1"/>
  <c r="Z70" i="1"/>
  <c r="Z74" i="1"/>
  <c r="Z77" i="1"/>
  <c r="AD84" i="1"/>
  <c r="AC84" i="1"/>
  <c r="Z84" i="1"/>
  <c r="AD83" i="1"/>
  <c r="AC83" i="1"/>
  <c r="AB92" i="1"/>
  <c r="AA92" i="1"/>
  <c r="AD94" i="1"/>
  <c r="AC94" i="1"/>
  <c r="Z94" i="1"/>
  <c r="AD93" i="1"/>
  <c r="AC93" i="1"/>
  <c r="Z93" i="1"/>
  <c r="AD104" i="1"/>
  <c r="AC104" i="1"/>
  <c r="Z104" i="1"/>
  <c r="AD108" i="1"/>
  <c r="AC108" i="1"/>
  <c r="Z108" i="1"/>
  <c r="AD107" i="1"/>
  <c r="AC107" i="1"/>
  <c r="Z107" i="1"/>
  <c r="AD118" i="1"/>
  <c r="AC118" i="1"/>
  <c r="Z118" i="1"/>
  <c r="AD117" i="1"/>
  <c r="AC117" i="1"/>
  <c r="Z117" i="1"/>
  <c r="AD121" i="1"/>
  <c r="AC121" i="1"/>
  <c r="AD85" i="1"/>
  <c r="AC85" i="1"/>
  <c r="K105" i="1"/>
  <c r="Z78" i="1"/>
  <c r="AD78" i="1"/>
  <c r="AC78" i="1"/>
  <c r="Z81" i="1"/>
  <c r="AD81" i="1"/>
  <c r="AC81" i="1"/>
  <c r="Z85" i="1"/>
  <c r="AD101" i="1"/>
  <c r="AC101" i="1"/>
  <c r="Z101" i="1"/>
  <c r="AD100" i="1"/>
  <c r="AC100" i="1"/>
  <c r="Z100" i="1"/>
  <c r="AD125" i="1"/>
  <c r="AC125" i="1"/>
  <c r="Z125" i="1"/>
  <c r="AD128" i="1"/>
  <c r="AC128" i="1"/>
  <c r="Z71" i="1"/>
  <c r="AD71" i="1"/>
  <c r="AC71" i="1"/>
  <c r="Z72" i="1"/>
  <c r="Z75" i="1"/>
  <c r="Z79" i="1"/>
  <c r="K81" i="1"/>
  <c r="Z82" i="1"/>
  <c r="AD91" i="1"/>
  <c r="AC91" i="1"/>
  <c r="Z91" i="1"/>
  <c r="AD90" i="1"/>
  <c r="AC90" i="1"/>
  <c r="Z90" i="1"/>
  <c r="AB95" i="1"/>
  <c r="AA95" i="1"/>
  <c r="AB109" i="1"/>
  <c r="AA109" i="1"/>
  <c r="AD115" i="1"/>
  <c r="AC115" i="1"/>
  <c r="Z115" i="1"/>
  <c r="Z114" i="1"/>
  <c r="AB119" i="1"/>
  <c r="AA119" i="1"/>
  <c r="Z89" i="1"/>
  <c r="Z96" i="1"/>
  <c r="Z99" i="1"/>
  <c r="Z103" i="1"/>
  <c r="Z106" i="1"/>
  <c r="Z110" i="1"/>
  <c r="Z113" i="1"/>
  <c r="Z120" i="1"/>
  <c r="AD123" i="1"/>
  <c r="AC123" i="1"/>
  <c r="Z127" i="1"/>
  <c r="Z121" i="1"/>
  <c r="K123" i="1"/>
  <c r="AA123" i="1"/>
  <c r="Z124" i="1"/>
  <c r="Z128" i="1"/>
  <c r="Z87" i="1"/>
  <c r="K93" i="1"/>
  <c r="K117" i="1"/>
  <c r="AB88" i="1"/>
  <c r="AE109" i="1"/>
  <c r="AE95" i="1"/>
  <c r="AA80" i="1"/>
  <c r="AE80" i="1"/>
  <c r="AA76" i="1"/>
  <c r="AA111" i="1"/>
  <c r="AE111" i="1"/>
  <c r="AE119" i="1"/>
  <c r="AA102" i="1"/>
  <c r="AE102" i="1"/>
  <c r="AE92" i="1"/>
  <c r="AE123" i="1"/>
  <c r="AA105" i="1"/>
  <c r="AE105" i="1"/>
  <c r="AE69" i="1"/>
  <c r="AA116" i="1"/>
  <c r="AE116" i="1"/>
  <c r="AA73" i="1"/>
  <c r="AE73" i="1"/>
  <c r="AA126" i="1"/>
  <c r="AE126" i="1"/>
  <c r="AE76" i="1"/>
  <c r="AA112" i="1"/>
  <c r="AE112" i="1"/>
  <c r="AE88" i="1"/>
  <c r="AA117" i="1"/>
  <c r="AE117" i="1"/>
  <c r="AB117" i="1"/>
  <c r="AB108" i="1"/>
  <c r="AA108" i="1"/>
  <c r="AE108" i="1"/>
  <c r="AB122" i="1"/>
  <c r="AA122" i="1"/>
  <c r="AE122" i="1"/>
  <c r="AB106" i="1"/>
  <c r="AA106" i="1"/>
  <c r="AE106" i="1"/>
  <c r="AB89" i="1"/>
  <c r="AA89" i="1"/>
  <c r="AE89" i="1"/>
  <c r="AA114" i="1"/>
  <c r="AE114" i="1"/>
  <c r="AB114" i="1"/>
  <c r="AA90" i="1"/>
  <c r="AE90" i="1"/>
  <c r="AB90" i="1"/>
  <c r="AA82" i="1"/>
  <c r="AE82" i="1"/>
  <c r="AB82" i="1"/>
  <c r="AA72" i="1"/>
  <c r="AE72" i="1"/>
  <c r="AB72" i="1"/>
  <c r="AB125" i="1"/>
  <c r="AA125" i="1"/>
  <c r="AE125" i="1"/>
  <c r="AA100" i="1"/>
  <c r="AE100" i="1"/>
  <c r="AB100" i="1"/>
  <c r="AA81" i="1"/>
  <c r="AE81" i="1"/>
  <c r="AB81" i="1"/>
  <c r="AA124" i="1"/>
  <c r="AE124" i="1"/>
  <c r="AB124" i="1"/>
  <c r="AB127" i="1"/>
  <c r="AA127" i="1"/>
  <c r="AE127" i="1"/>
  <c r="AB110" i="1"/>
  <c r="AA110" i="1"/>
  <c r="AE110" i="1"/>
  <c r="AB96" i="1"/>
  <c r="AA96" i="1"/>
  <c r="AE96" i="1"/>
  <c r="AA93" i="1"/>
  <c r="AE93" i="1"/>
  <c r="AB93" i="1"/>
  <c r="AB98" i="1"/>
  <c r="AA98" i="1"/>
  <c r="AE98" i="1"/>
  <c r="AB87" i="1"/>
  <c r="AA87" i="1"/>
  <c r="AE87" i="1"/>
  <c r="AB120" i="1"/>
  <c r="AA120" i="1"/>
  <c r="AE120" i="1"/>
  <c r="AB103" i="1"/>
  <c r="AA103" i="1"/>
  <c r="AE103" i="1"/>
  <c r="AB115" i="1"/>
  <c r="AA115" i="1"/>
  <c r="AE115" i="1"/>
  <c r="AB118" i="1"/>
  <c r="AA118" i="1"/>
  <c r="AE118" i="1"/>
  <c r="AA107" i="1"/>
  <c r="AE107" i="1"/>
  <c r="AB107" i="1"/>
  <c r="AA104" i="1"/>
  <c r="AE104" i="1"/>
  <c r="AB104" i="1"/>
  <c r="AB94" i="1"/>
  <c r="AA94" i="1"/>
  <c r="AE94" i="1"/>
  <c r="AB77" i="1"/>
  <c r="AA77" i="1"/>
  <c r="AE77" i="1"/>
  <c r="AB70" i="1"/>
  <c r="AA70" i="1"/>
  <c r="AE70" i="1"/>
  <c r="AA97" i="1"/>
  <c r="AE97" i="1"/>
  <c r="AB97" i="1"/>
  <c r="AB86" i="1"/>
  <c r="AA86" i="1"/>
  <c r="AE86" i="1"/>
  <c r="AB75" i="1"/>
  <c r="AA75" i="1"/>
  <c r="AE75" i="1"/>
  <c r="AB74" i="1"/>
  <c r="AA74" i="1"/>
  <c r="AE74" i="1"/>
  <c r="AA128" i="1"/>
  <c r="AE128" i="1"/>
  <c r="AB128" i="1"/>
  <c r="AA121" i="1"/>
  <c r="AE121" i="1"/>
  <c r="AB121" i="1"/>
  <c r="AB113" i="1"/>
  <c r="AA113" i="1"/>
  <c r="AE113" i="1"/>
  <c r="AB99" i="1"/>
  <c r="AA99" i="1"/>
  <c r="AE99" i="1"/>
  <c r="AB91" i="1"/>
  <c r="AA91" i="1"/>
  <c r="AE91" i="1"/>
  <c r="AA79" i="1"/>
  <c r="AE79" i="1"/>
  <c r="AB79" i="1"/>
  <c r="AA71" i="1"/>
  <c r="AE71" i="1"/>
  <c r="AB71" i="1"/>
  <c r="AB101" i="1"/>
  <c r="AA101" i="1"/>
  <c r="AE101" i="1"/>
  <c r="AA85" i="1"/>
  <c r="AE85" i="1"/>
  <c r="AB85" i="1"/>
  <c r="AA78" i="1"/>
  <c r="AE78" i="1"/>
  <c r="AB78" i="1"/>
  <c r="AB84" i="1"/>
  <c r="AA84" i="1"/>
  <c r="AE84" i="1"/>
  <c r="AE83" i="1"/>
  <c r="V9" i="1"/>
  <c r="M44" i="1"/>
  <c r="M49" i="1"/>
  <c r="M25" i="1"/>
  <c r="M42" i="1"/>
  <c r="M62" i="1"/>
  <c r="M64" i="1"/>
  <c r="M34" i="1"/>
  <c r="M28" i="1"/>
  <c r="M56" i="1"/>
  <c r="M41" i="1"/>
  <c r="M36" i="1"/>
  <c r="M22" i="1"/>
  <c r="M30" i="1"/>
  <c r="M40" i="1"/>
  <c r="M58" i="1"/>
  <c r="M61" i="1"/>
  <c r="M37" i="1"/>
  <c r="M54" i="1"/>
  <c r="M16" i="1"/>
  <c r="M48" i="1"/>
  <c r="M52" i="1"/>
  <c r="M53" i="1"/>
  <c r="M66" i="1"/>
  <c r="M67" i="1"/>
  <c r="M59" i="1"/>
  <c r="M32" i="1"/>
  <c r="M47" i="1"/>
  <c r="M29" i="1"/>
  <c r="M17" i="1"/>
  <c r="M26" i="1"/>
  <c r="M60" i="1"/>
  <c r="M31" i="1"/>
  <c r="M50" i="1"/>
  <c r="M38" i="1"/>
  <c r="M43" i="1"/>
  <c r="M18" i="1"/>
  <c r="M19" i="1"/>
  <c r="M46" i="1"/>
  <c r="M23" i="1"/>
  <c r="M65" i="1"/>
  <c r="M24" i="1"/>
  <c r="M35" i="1"/>
  <c r="M55" i="1"/>
  <c r="M68" i="1"/>
  <c r="M20" i="1"/>
  <c r="Z9" i="1"/>
  <c r="AB9" i="1"/>
  <c r="Z10" i="1"/>
  <c r="F221" i="13"/>
  <c r="F211" i="13"/>
  <c r="F212" i="13"/>
  <c r="F213" i="13"/>
  <c r="F214" i="13"/>
  <c r="F215" i="13"/>
  <c r="F216" i="13"/>
  <c r="F217" i="13"/>
  <c r="F218" i="13"/>
  <c r="F219" i="13"/>
  <c r="F220" i="13"/>
  <c r="F210" i="13"/>
  <c r="B221" i="13" a="1"/>
  <c r="B221" i="13"/>
  <c r="S51" i="1"/>
  <c r="S46" i="1"/>
  <c r="S40"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V68" i="1"/>
  <c r="S68" i="1"/>
  <c r="V67" i="1"/>
  <c r="S67" i="1"/>
  <c r="V66" i="1"/>
  <c r="S66" i="1"/>
  <c r="V65" i="1"/>
  <c r="S65" i="1"/>
  <c r="V64" i="1"/>
  <c r="S64" i="1"/>
  <c r="V63" i="1"/>
  <c r="S63" i="1"/>
  <c r="J63" i="1"/>
  <c r="K63" i="1"/>
  <c r="V62" i="1"/>
  <c r="S62" i="1"/>
  <c r="V61" i="1"/>
  <c r="S61" i="1"/>
  <c r="V60" i="1"/>
  <c r="S60" i="1"/>
  <c r="V59" i="1"/>
  <c r="S59" i="1"/>
  <c r="V58" i="1"/>
  <c r="S58" i="1"/>
  <c r="V57" i="1"/>
  <c r="S57" i="1"/>
  <c r="J57" i="1"/>
  <c r="K57" i="1"/>
  <c r="V56" i="1"/>
  <c r="S56" i="1"/>
  <c r="V55" i="1"/>
  <c r="S55" i="1"/>
  <c r="V54" i="1"/>
  <c r="S54" i="1"/>
  <c r="V53" i="1"/>
  <c r="S53" i="1"/>
  <c r="V52" i="1"/>
  <c r="S52" i="1"/>
  <c r="V51" i="1"/>
  <c r="J51" i="1"/>
  <c r="K51" i="1"/>
  <c r="V50" i="1"/>
  <c r="S50" i="1"/>
  <c r="V49" i="1"/>
  <c r="S49" i="1"/>
  <c r="V48" i="1"/>
  <c r="S48" i="1"/>
  <c r="V47" i="1"/>
  <c r="S47" i="1"/>
  <c r="V46" i="1"/>
  <c r="V45" i="1"/>
  <c r="S45" i="1"/>
  <c r="J45" i="1"/>
  <c r="K45" i="1"/>
  <c r="V44" i="1"/>
  <c r="S44" i="1"/>
  <c r="V43" i="1"/>
  <c r="S43" i="1"/>
  <c r="V42" i="1"/>
  <c r="S42" i="1"/>
  <c r="V41" i="1"/>
  <c r="S41" i="1"/>
  <c r="V40" i="1"/>
  <c r="V39" i="1"/>
  <c r="S39" i="1"/>
  <c r="J39" i="1"/>
  <c r="K39" i="1"/>
  <c r="V38" i="1"/>
  <c r="S38" i="1"/>
  <c r="V37" i="1"/>
  <c r="S37" i="1"/>
  <c r="V36" i="1"/>
  <c r="S36" i="1"/>
  <c r="V35" i="1"/>
  <c r="S35" i="1"/>
  <c r="V34" i="1"/>
  <c r="S34" i="1"/>
  <c r="V33" i="1"/>
  <c r="S33" i="1"/>
  <c r="J33" i="1"/>
  <c r="K33" i="1"/>
  <c r="V32" i="1"/>
  <c r="S32" i="1"/>
  <c r="V31" i="1"/>
  <c r="S31" i="1"/>
  <c r="V30" i="1"/>
  <c r="S30" i="1"/>
  <c r="V29" i="1"/>
  <c r="S29" i="1"/>
  <c r="V28" i="1"/>
  <c r="S28" i="1"/>
  <c r="V27" i="1"/>
  <c r="S27" i="1"/>
  <c r="J27" i="1"/>
  <c r="K27" i="1"/>
  <c r="V26" i="1"/>
  <c r="S26" i="1"/>
  <c r="V25" i="1"/>
  <c r="S25" i="1"/>
  <c r="V24" i="1"/>
  <c r="S24" i="1"/>
  <c r="V23" i="1"/>
  <c r="S23" i="1"/>
  <c r="V22" i="1"/>
  <c r="S22" i="1"/>
  <c r="V21" i="1"/>
  <c r="S21" i="1"/>
  <c r="J21" i="1"/>
  <c r="K21" i="1"/>
  <c r="J15" i="1"/>
  <c r="S14" i="1"/>
  <c r="V20" i="1"/>
  <c r="S20" i="1"/>
  <c r="V19" i="1"/>
  <c r="S19" i="1"/>
  <c r="V18" i="1"/>
  <c r="S18" i="1"/>
  <c r="V17" i="1"/>
  <c r="S17" i="1"/>
  <c r="V16" i="1"/>
  <c r="S16" i="1"/>
  <c r="V15" i="1"/>
  <c r="S15" i="1"/>
  <c r="AD49" i="1"/>
  <c r="AC49" i="1"/>
  <c r="AD50" i="1"/>
  <c r="AC50" i="1"/>
  <c r="K15" i="1"/>
  <c r="Z15" i="1"/>
  <c r="Z63" i="1"/>
  <c r="Z57" i="1"/>
  <c r="Z51" i="1"/>
  <c r="Z45" i="1"/>
  <c r="Z49" i="1"/>
  <c r="Z50" i="1"/>
  <c r="Z39" i="1"/>
  <c r="Z33" i="1"/>
  <c r="Z27" i="1"/>
  <c r="Z21" i="1"/>
  <c r="AA63" i="1"/>
  <c r="AB63" i="1"/>
  <c r="Z64" i="1"/>
  <c r="AA64" i="1"/>
  <c r="AA57" i="1"/>
  <c r="AB57" i="1"/>
  <c r="Z58" i="1"/>
  <c r="AB58" i="1"/>
  <c r="Z59" i="1"/>
  <c r="AA51" i="1"/>
  <c r="AB51" i="1"/>
  <c r="Z52" i="1"/>
  <c r="AB52" i="1"/>
  <c r="Z53" i="1"/>
  <c r="AA50" i="1"/>
  <c r="AB50" i="1"/>
  <c r="AA49" i="1"/>
  <c r="AB49" i="1"/>
  <c r="AA45" i="1"/>
  <c r="AB45" i="1"/>
  <c r="AA39" i="1"/>
  <c r="AB39" i="1"/>
  <c r="Z40" i="1"/>
  <c r="AB40" i="1"/>
  <c r="Z41" i="1"/>
  <c r="AA33" i="1"/>
  <c r="AB33" i="1"/>
  <c r="AA27" i="1"/>
  <c r="AB27" i="1"/>
  <c r="Z28" i="1"/>
  <c r="AB28" i="1"/>
  <c r="Z29" i="1"/>
  <c r="AA29" i="1"/>
  <c r="AA21" i="1"/>
  <c r="AB21" i="1"/>
  <c r="Z22" i="1"/>
  <c r="AA22" i="1"/>
  <c r="AA15" i="1"/>
  <c r="AB15" i="1"/>
  <c r="Z16" i="1"/>
  <c r="AA58" i="1"/>
  <c r="AA52" i="1"/>
  <c r="AB22" i="1"/>
  <c r="Z23" i="1"/>
  <c r="AA23" i="1"/>
  <c r="AA40" i="1"/>
  <c r="AA28" i="1"/>
  <c r="AA41" i="1"/>
  <c r="AB41" i="1"/>
  <c r="AB59" i="1"/>
  <c r="Z60" i="1"/>
  <c r="AA59" i="1"/>
  <c r="AB53" i="1"/>
  <c r="Z54" i="1"/>
  <c r="AA53" i="1"/>
  <c r="AB64" i="1"/>
  <c r="Z65" i="1"/>
  <c r="Z34" i="1"/>
  <c r="Z46" i="1"/>
  <c r="Z47" i="1"/>
  <c r="AB29"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E49" i="1"/>
  <c r="AE50" i="1"/>
  <c r="V13" i="1"/>
  <c r="V14" i="1"/>
  <c r="AA60" i="1"/>
  <c r="AB60" i="1"/>
  <c r="AA54" i="1"/>
  <c r="AB54" i="1"/>
  <c r="Z55" i="1"/>
  <c r="AB23" i="1"/>
  <c r="Z24" i="1"/>
  <c r="AB24" i="1"/>
  <c r="AA47" i="1"/>
  <c r="AB47" i="1"/>
  <c r="Z48" i="1"/>
  <c r="AA65" i="1"/>
  <c r="AB65" i="1"/>
  <c r="Z66" i="1"/>
  <c r="AA46" i="1"/>
  <c r="AB46" i="1"/>
  <c r="Z42" i="1"/>
  <c r="AA34" i="1"/>
  <c r="AB34" i="1"/>
  <c r="Z35" i="1"/>
  <c r="AA35" i="1"/>
  <c r="Z31" i="1"/>
  <c r="AA31" i="1"/>
  <c r="Z30" i="1"/>
  <c r="AA16" i="1"/>
  <c r="AB16" i="1"/>
  <c r="Z17" i="1"/>
  <c r="AA17" i="1"/>
  <c r="AB35" i="1"/>
  <c r="Z36" i="1"/>
  <c r="AB36" i="1"/>
  <c r="Z37" i="1"/>
  <c r="AA55" i="1"/>
  <c r="AB55" i="1"/>
  <c r="Z56" i="1"/>
  <c r="Z61" i="1"/>
  <c r="Z62" i="1"/>
  <c r="AA24" i="1"/>
  <c r="AA42" i="1"/>
  <c r="AB42" i="1"/>
  <c r="Z43" i="1"/>
  <c r="AA43" i="1"/>
  <c r="AA48" i="1"/>
  <c r="AB48" i="1"/>
  <c r="Z25" i="1"/>
  <c r="AB66" i="1"/>
  <c r="AA66" i="1"/>
  <c r="AA30" i="1"/>
  <c r="AB30" i="1"/>
  <c r="AB31" i="1"/>
  <c r="Z32" i="1"/>
  <c r="AB17" i="1"/>
  <c r="Z18" i="1"/>
  <c r="AA18" i="1"/>
  <c r="AA36" i="1"/>
  <c r="AA62" i="1"/>
  <c r="AB62" i="1"/>
  <c r="AA61" i="1"/>
  <c r="AB61" i="1"/>
  <c r="AA56" i="1"/>
  <c r="AB56" i="1"/>
  <c r="Z67" i="1"/>
  <c r="Z68" i="1"/>
  <c r="AB43" i="1"/>
  <c r="Z44" i="1"/>
  <c r="AA44" i="1"/>
  <c r="AB37" i="1"/>
  <c r="Z38" i="1"/>
  <c r="AA37" i="1"/>
  <c r="AA25" i="1"/>
  <c r="AB25" i="1"/>
  <c r="Z26" i="1"/>
  <c r="AA26" i="1"/>
  <c r="AA32" i="1"/>
  <c r="AB32" i="1"/>
  <c r="AB18" i="1"/>
  <c r="Z19" i="1"/>
  <c r="AB19" i="1"/>
  <c r="Z20" i="1"/>
  <c r="AA9" i="1"/>
  <c r="AA68" i="1"/>
  <c r="AB68" i="1"/>
  <c r="AA67" i="1"/>
  <c r="AB67" i="1"/>
  <c r="AA38" i="1"/>
  <c r="AB38" i="1"/>
  <c r="AB44" i="1"/>
  <c r="AB26" i="1"/>
  <c r="AA19" i="1"/>
  <c r="AA20" i="1"/>
  <c r="AB20" i="1"/>
  <c r="AA10" i="1"/>
  <c r="AB10" i="1"/>
  <c r="Z11" i="1"/>
  <c r="AA11" i="1"/>
  <c r="AB11" i="1"/>
  <c r="Z12" i="1"/>
  <c r="AB12" i="1"/>
  <c r="Z13" i="1"/>
  <c r="AA13" i="1"/>
  <c r="AB13" i="1"/>
  <c r="Z14" i="1"/>
  <c r="AA12" i="1"/>
  <c r="AA14" i="1"/>
  <c r="AB14" i="1"/>
  <c r="B223" i="13"/>
  <c r="B222" i="13"/>
  <c r="M123" i="1"/>
  <c r="N123" i="1"/>
  <c r="M87" i="1"/>
  <c r="N87" i="1"/>
  <c r="M93" i="1"/>
  <c r="N93" i="1"/>
  <c r="M99" i="1"/>
  <c r="N99" i="1"/>
  <c r="M69" i="1"/>
  <c r="N69" i="1"/>
  <c r="M81" i="1"/>
  <c r="N81" i="1"/>
  <c r="M111" i="1"/>
  <c r="N111" i="1"/>
  <c r="M105" i="1"/>
  <c r="N105" i="1"/>
  <c r="M75" i="1"/>
  <c r="N75" i="1"/>
  <c r="M117" i="1"/>
  <c r="N117" i="1"/>
  <c r="M39" i="1"/>
  <c r="N39" i="1"/>
  <c r="M27" i="1"/>
  <c r="N27" i="1"/>
  <c r="M21" i="1"/>
  <c r="N21" i="1"/>
  <c r="M51" i="1"/>
  <c r="N51" i="1"/>
  <c r="M45" i="1"/>
  <c r="N45" i="1"/>
  <c r="M33" i="1"/>
  <c r="N33" i="1"/>
  <c r="M63" i="1"/>
  <c r="N63" i="1"/>
  <c r="M57" i="1"/>
  <c r="N57" i="1"/>
  <c r="M15" i="1"/>
  <c r="N15" i="1"/>
  <c r="O105" i="1"/>
  <c r="P105" i="1"/>
  <c r="O111" i="1"/>
  <c r="P111" i="1"/>
  <c r="O93" i="1"/>
  <c r="P93" i="1"/>
  <c r="O117" i="1"/>
  <c r="P117" i="1"/>
  <c r="O81" i="1"/>
  <c r="P81" i="1"/>
  <c r="O87" i="1"/>
  <c r="P87" i="1"/>
  <c r="P99" i="1"/>
  <c r="O99" i="1"/>
  <c r="O75" i="1"/>
  <c r="P75" i="1"/>
  <c r="O69" i="1"/>
  <c r="P69" i="1"/>
  <c r="O123" i="1"/>
  <c r="P123" i="1"/>
  <c r="Z42" i="18"/>
  <c r="N42" i="18"/>
  <c r="AF26" i="18"/>
  <c r="N26" i="18"/>
  <c r="AF18" i="18"/>
  <c r="T10" i="18"/>
  <c r="N34" i="18"/>
  <c r="T34" i="18"/>
  <c r="T18" i="18"/>
  <c r="Z18" i="18"/>
  <c r="Z10" i="18"/>
  <c r="AL18" i="18"/>
  <c r="Z26" i="18"/>
  <c r="P57" i="1"/>
  <c r="O57"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O51" i="1"/>
  <c r="AJ42" i="18"/>
  <c r="AJ18" i="18"/>
  <c r="AD26" i="18"/>
  <c r="L10" i="18"/>
  <c r="AD10" i="18"/>
  <c r="X18" i="18"/>
  <c r="AD42" i="18"/>
  <c r="L18" i="18"/>
  <c r="R10" i="18"/>
  <c r="P51" i="1"/>
  <c r="O63" i="1"/>
  <c r="AD63" i="1"/>
  <c r="AB36" i="18"/>
  <c r="AH12" i="18"/>
  <c r="P28" i="18"/>
  <c r="AH20" i="18"/>
  <c r="P36" i="18"/>
  <c r="V12" i="18"/>
  <c r="AH28" i="18"/>
  <c r="AB20" i="18"/>
  <c r="J12" i="18"/>
  <c r="J20" i="18"/>
  <c r="P63" i="1"/>
  <c r="P44" i="18"/>
  <c r="AB44" i="18"/>
  <c r="V28" i="18"/>
  <c r="V36" i="18"/>
  <c r="J28" i="18"/>
  <c r="AH36" i="18"/>
  <c r="J44" i="18"/>
  <c r="P12" i="18"/>
  <c r="AB12" i="18"/>
  <c r="V44" i="18"/>
  <c r="AH44" i="18"/>
  <c r="V20" i="18"/>
  <c r="P20" i="18"/>
  <c r="J36" i="18"/>
  <c r="AB28" i="18"/>
  <c r="T38" i="18"/>
  <c r="AF22" i="18"/>
  <c r="N38" i="18"/>
  <c r="AF30" i="18"/>
  <c r="AL6" i="18"/>
  <c r="Z6" i="18"/>
  <c r="P21" i="1"/>
  <c r="T14" i="18"/>
  <c r="T22" i="18"/>
  <c r="N6" i="18"/>
  <c r="AL30" i="18"/>
  <c r="Z22" i="18"/>
  <c r="Z14" i="18"/>
  <c r="O21" i="1"/>
  <c r="Z30" i="18"/>
  <c r="AL38" i="18"/>
  <c r="AL14" i="18"/>
  <c r="AF6" i="18"/>
  <c r="AL22" i="18"/>
  <c r="T30" i="18"/>
  <c r="Z38" i="18"/>
  <c r="AF14" i="18"/>
  <c r="N30" i="18"/>
  <c r="N14" i="18"/>
  <c r="N22" i="18"/>
  <c r="AF38" i="18"/>
  <c r="T6" i="18"/>
  <c r="O33" i="1"/>
  <c r="X32" i="18"/>
  <c r="AD32" i="18"/>
  <c r="AJ8" i="18"/>
  <c r="L16" i="18"/>
  <c r="R32" i="18"/>
  <c r="AJ32" i="18"/>
  <c r="P33" i="1"/>
  <c r="R40" i="18"/>
  <c r="AJ40" i="18"/>
  <c r="AD24" i="18"/>
  <c r="AJ24" i="18"/>
  <c r="R24" i="18"/>
  <c r="AJ16" i="18"/>
  <c r="AD8" i="18"/>
  <c r="L32" i="18"/>
  <c r="L40" i="18"/>
  <c r="R16" i="18"/>
  <c r="L24" i="18"/>
  <c r="AD16" i="18"/>
  <c r="L8" i="18"/>
  <c r="R8" i="18"/>
  <c r="X40" i="18"/>
  <c r="X8" i="18"/>
  <c r="X16" i="18"/>
  <c r="AD40" i="18"/>
  <c r="X24" i="18"/>
  <c r="O27" i="1"/>
  <c r="J40" i="18"/>
  <c r="J16" i="18"/>
  <c r="P16" i="18"/>
  <c r="V8" i="18"/>
  <c r="J8" i="18"/>
  <c r="J24" i="18"/>
  <c r="AH16" i="18"/>
  <c r="AB16" i="18"/>
  <c r="AB40" i="18"/>
  <c r="P32" i="18"/>
  <c r="P40" i="18"/>
  <c r="AH24" i="18"/>
  <c r="AB32" i="18"/>
  <c r="J32" i="18"/>
  <c r="V16" i="18"/>
  <c r="V40" i="18"/>
  <c r="AH32" i="18"/>
  <c r="V24" i="18"/>
  <c r="V32" i="18"/>
  <c r="AH8" i="18"/>
  <c r="AB8" i="18"/>
  <c r="P8" i="18"/>
  <c r="P27" i="1"/>
  <c r="AH40" i="18"/>
  <c r="AB24" i="18"/>
  <c r="P24" i="18"/>
  <c r="AD38" i="18"/>
  <c r="L30" i="18"/>
  <c r="AD30" i="18"/>
  <c r="AJ6" i="18"/>
  <c r="L14" i="18"/>
  <c r="L22" i="18"/>
  <c r="X6" i="18"/>
  <c r="L6" i="18"/>
  <c r="P15" i="1"/>
  <c r="R38" i="18"/>
  <c r="AJ38" i="18"/>
  <c r="L38" i="18"/>
  <c r="AD6" i="18"/>
  <c r="R6" i="18"/>
  <c r="AJ30" i="18"/>
  <c r="R30" i="18"/>
  <c r="AD22" i="18"/>
  <c r="AJ14" i="18"/>
  <c r="AJ22" i="18"/>
  <c r="AD14" i="18"/>
  <c r="X38" i="18"/>
  <c r="X14" i="18"/>
  <c r="R22" i="18"/>
  <c r="X22" i="18"/>
  <c r="O15"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D9" i="1"/>
  <c r="O45" i="1"/>
  <c r="AH34" i="18"/>
  <c r="AH42" i="18"/>
  <c r="AH18" i="18"/>
  <c r="AB10" i="18"/>
  <c r="J26" i="18"/>
  <c r="V18" i="18"/>
  <c r="V42" i="18"/>
  <c r="J42" i="18"/>
  <c r="P10" i="18"/>
  <c r="AB26" i="18"/>
  <c r="J34" i="18"/>
  <c r="J18" i="18"/>
  <c r="AH10" i="18"/>
  <c r="AB34" i="18"/>
  <c r="P26" i="18"/>
  <c r="P34" i="18"/>
  <c r="V34" i="18"/>
  <c r="AH26" i="18"/>
  <c r="J10" i="18"/>
  <c r="P45" i="1"/>
  <c r="P18" i="18"/>
  <c r="AB42" i="18"/>
  <c r="V10" i="18"/>
  <c r="AB18" i="18"/>
  <c r="P42" i="18"/>
  <c r="V26" i="18"/>
  <c r="Z32" i="18"/>
  <c r="N24" i="18"/>
  <c r="AL32" i="18"/>
  <c r="AL40" i="18"/>
  <c r="N8" i="18"/>
  <c r="AF24" i="18"/>
  <c r="Z40" i="18"/>
  <c r="Z16" i="18"/>
  <c r="N32" i="18"/>
  <c r="T32" i="18"/>
  <c r="N40" i="18"/>
  <c r="T8" i="18"/>
  <c r="O39" i="1"/>
  <c r="AF32" i="18"/>
  <c r="AL8" i="18"/>
  <c r="T24" i="18"/>
  <c r="N16" i="18"/>
  <c r="T16" i="18"/>
  <c r="Z24" i="18"/>
  <c r="AF16" i="18"/>
  <c r="P39" i="1"/>
  <c r="T40" i="18"/>
  <c r="AF8" i="18"/>
  <c r="AL24" i="18"/>
  <c r="Z8" i="18"/>
  <c r="AF40" i="18"/>
  <c r="AL16" i="18"/>
  <c r="AD28" i="1"/>
  <c r="AD27" i="1"/>
  <c r="AC27" i="1"/>
  <c r="AC63" i="1"/>
  <c r="AD65" i="1"/>
  <c r="AD58" i="1"/>
  <c r="AD57" i="1"/>
  <c r="AD40" i="1"/>
  <c r="AD39" i="1"/>
  <c r="AC39" i="1"/>
  <c r="AD52" i="1"/>
  <c r="AD51" i="1"/>
  <c r="AC51" i="1"/>
  <c r="AC9" i="1"/>
  <c r="AD10" i="1"/>
  <c r="AD16" i="1"/>
  <c r="AD15" i="1"/>
  <c r="AC15" i="1"/>
  <c r="AD22" i="1"/>
  <c r="AD21" i="1"/>
  <c r="AC21" i="1"/>
  <c r="AD46" i="1"/>
  <c r="AD45" i="1"/>
  <c r="AC45" i="1"/>
  <c r="AD34" i="1"/>
  <c r="AD33" i="1"/>
  <c r="AC33" i="1"/>
  <c r="J40" i="19"/>
  <c r="V30" i="19"/>
  <c r="AH20" i="19"/>
  <c r="J30" i="19"/>
  <c r="V20" i="19"/>
  <c r="AH10" i="19"/>
  <c r="P10" i="19"/>
  <c r="AB50" i="19"/>
  <c r="J50" i="19"/>
  <c r="AB40" i="19"/>
  <c r="P30" i="19"/>
  <c r="V50" i="19"/>
  <c r="P50" i="19"/>
  <c r="AB10" i="19"/>
  <c r="AH30" i="19"/>
  <c r="AH40" i="19"/>
  <c r="J10" i="19"/>
  <c r="AB20" i="19"/>
  <c r="AH50" i="19"/>
  <c r="AE33" i="1"/>
  <c r="V10" i="19"/>
  <c r="P20" i="19"/>
  <c r="J20" i="19"/>
  <c r="P40" i="19"/>
  <c r="V40" i="19"/>
  <c r="AB30" i="19"/>
  <c r="J11" i="19"/>
  <c r="V11" i="19"/>
  <c r="AB21" i="19"/>
  <c r="P31" i="19"/>
  <c r="J31" i="19"/>
  <c r="AB41" i="19"/>
  <c r="AE39" i="1"/>
  <c r="AH41" i="19"/>
  <c r="P41" i="19"/>
  <c r="J21" i="19"/>
  <c r="AB31" i="19"/>
  <c r="AB51" i="19"/>
  <c r="P21" i="19"/>
  <c r="V41" i="19"/>
  <c r="V31" i="19"/>
  <c r="AH21" i="19"/>
  <c r="AB11" i="19"/>
  <c r="P51" i="19"/>
  <c r="V21" i="19"/>
  <c r="AH31" i="19"/>
  <c r="V51" i="19"/>
  <c r="J51" i="19"/>
  <c r="AH51" i="19"/>
  <c r="AH11" i="19"/>
  <c r="J41" i="19"/>
  <c r="P11" i="19"/>
  <c r="AC22" i="1"/>
  <c r="AD23" i="1"/>
  <c r="AB36" i="19"/>
  <c r="AH16" i="19"/>
  <c r="P16" i="19"/>
  <c r="V46" i="19"/>
  <c r="J6" i="19"/>
  <c r="AB16" i="19"/>
  <c r="V26" i="19"/>
  <c r="V16" i="19"/>
  <c r="AB6" i="19"/>
  <c r="J26" i="19"/>
  <c r="P6" i="19"/>
  <c r="AH46" i="19"/>
  <c r="P46" i="19"/>
  <c r="AH26" i="19"/>
  <c r="AH36" i="19"/>
  <c r="V36" i="19"/>
  <c r="P36" i="19"/>
  <c r="V6" i="19"/>
  <c r="AH6" i="19"/>
  <c r="AB46" i="19"/>
  <c r="AB26" i="19"/>
  <c r="J16" i="19"/>
  <c r="P26" i="19"/>
  <c r="AE9" i="1"/>
  <c r="J36" i="19"/>
  <c r="J46" i="19"/>
  <c r="V25" i="19"/>
  <c r="AH25" i="19"/>
  <c r="P45" i="19"/>
  <c r="AH45" i="19"/>
  <c r="AH15" i="19"/>
  <c r="AB55" i="19"/>
  <c r="J45" i="19"/>
  <c r="AH35" i="19"/>
  <c r="V45" i="19"/>
  <c r="AH55" i="19"/>
  <c r="V15" i="19"/>
  <c r="J25" i="19"/>
  <c r="V35" i="19"/>
  <c r="AE63" i="1"/>
  <c r="P25" i="19"/>
  <c r="V55" i="19"/>
  <c r="J15" i="19"/>
  <c r="AB15" i="19"/>
  <c r="J35" i="19"/>
  <c r="AB35" i="19"/>
  <c r="J55" i="19"/>
  <c r="AB25" i="19"/>
  <c r="P35" i="19"/>
  <c r="P55" i="19"/>
  <c r="AB45" i="19"/>
  <c r="P15" i="19"/>
  <c r="J47" i="19"/>
  <c r="V27" i="19"/>
  <c r="AH7" i="19"/>
  <c r="P47" i="19"/>
  <c r="AB27" i="19"/>
  <c r="J17" i="19"/>
  <c r="V47" i="19"/>
  <c r="J37" i="19"/>
  <c r="AE15" i="1"/>
  <c r="AB37" i="19"/>
  <c r="J27" i="19"/>
  <c r="V7" i="19"/>
  <c r="AH37" i="19"/>
  <c r="P27" i="19"/>
  <c r="AB7" i="19"/>
  <c r="P17" i="19"/>
  <c r="V17" i="19"/>
  <c r="AH47" i="19"/>
  <c r="P37" i="19"/>
  <c r="AB17" i="19"/>
  <c r="J7" i="19"/>
  <c r="V37" i="19"/>
  <c r="AH17" i="19"/>
  <c r="P7" i="19"/>
  <c r="AH27" i="19"/>
  <c r="AB47" i="19"/>
  <c r="AE51"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57" i="1"/>
  <c r="AD64" i="1"/>
  <c r="AC64" i="1"/>
  <c r="AE27"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E21"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D11" i="1"/>
  <c r="AC10" i="1"/>
  <c r="AC65" i="1"/>
  <c r="AD66" i="1"/>
  <c r="AD35" i="1"/>
  <c r="AC34" i="1"/>
  <c r="AC40" i="1"/>
  <c r="AD41" i="1"/>
  <c r="AC41" i="1"/>
  <c r="AD42" i="1"/>
  <c r="V32" i="19"/>
  <c r="P42" i="19"/>
  <c r="J12" i="19"/>
  <c r="J32" i="19"/>
  <c r="AB52" i="19"/>
  <c r="AE45" i="1"/>
  <c r="J22" i="19"/>
  <c r="V22" i="19"/>
  <c r="J52" i="19"/>
  <c r="AH12" i="19"/>
  <c r="J42" i="19"/>
  <c r="AH42" i="19"/>
  <c r="P32" i="19"/>
  <c r="AB12" i="19"/>
  <c r="AH32" i="19"/>
  <c r="AB32" i="19"/>
  <c r="AB42" i="19"/>
  <c r="V42" i="19"/>
  <c r="V12" i="19"/>
  <c r="V52" i="19"/>
  <c r="AB22" i="19"/>
  <c r="AH52" i="19"/>
  <c r="AH22" i="19"/>
  <c r="P22" i="19"/>
  <c r="P12" i="19"/>
  <c r="P52" i="19"/>
  <c r="AD47" i="1"/>
  <c r="AC47" i="1"/>
  <c r="AD48" i="1"/>
  <c r="AC48" i="1"/>
  <c r="AC46" i="1"/>
  <c r="AD17" i="1"/>
  <c r="AC16" i="1"/>
  <c r="AC52" i="1"/>
  <c r="AD53" i="1"/>
  <c r="AC58" i="1"/>
  <c r="AD59" i="1"/>
  <c r="AC28" i="1"/>
  <c r="AD29" i="1"/>
  <c r="W37" i="19"/>
  <c r="AI7" i="19"/>
  <c r="W17" i="19"/>
  <c r="W27" i="19"/>
  <c r="Q47" i="19"/>
  <c r="W7" i="19"/>
  <c r="AI17" i="19"/>
  <c r="K47" i="19"/>
  <c r="AI47" i="19"/>
  <c r="Q27" i="19"/>
  <c r="AC27" i="19"/>
  <c r="AC47" i="19"/>
  <c r="AC37" i="19"/>
  <c r="AI37" i="19"/>
  <c r="AE16" i="1"/>
  <c r="AC17" i="19"/>
  <c r="K37" i="19"/>
  <c r="AC7" i="19"/>
  <c r="W47" i="19"/>
  <c r="Q37" i="19"/>
  <c r="AI27" i="19"/>
  <c r="Q7" i="19"/>
  <c r="K27" i="19"/>
  <c r="K17" i="19"/>
  <c r="K7" i="19"/>
  <c r="Q17" i="19"/>
  <c r="AC66" i="1"/>
  <c r="AD67" i="1"/>
  <c r="K35" i="19"/>
  <c r="AC25" i="19"/>
  <c r="K45" i="19"/>
  <c r="AI45" i="19"/>
  <c r="W45" i="19"/>
  <c r="Q35" i="19"/>
  <c r="K55" i="19"/>
  <c r="AC15" i="19"/>
  <c r="Q15" i="19"/>
  <c r="AC35" i="19"/>
  <c r="AI35" i="19"/>
  <c r="Q55" i="19"/>
  <c r="AI25" i="19"/>
  <c r="AE64"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E58"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E40" i="1"/>
  <c r="AD55" i="19"/>
  <c r="R15" i="19"/>
  <c r="AJ35" i="19"/>
  <c r="AE65"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E57"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E47" i="1"/>
  <c r="AD12" i="19"/>
  <c r="AD32" i="19"/>
  <c r="AD22" i="19"/>
  <c r="X52" i="19"/>
  <c r="AD52" i="19"/>
  <c r="L42" i="19"/>
  <c r="R42" i="19"/>
  <c r="AJ21" i="19"/>
  <c r="AD31" i="19"/>
  <c r="R21" i="19"/>
  <c r="AD41" i="19"/>
  <c r="AJ11" i="19"/>
  <c r="AJ51" i="19"/>
  <c r="AE41" i="1"/>
  <c r="L41" i="19"/>
  <c r="AD11" i="19"/>
  <c r="L21" i="19"/>
  <c r="L11" i="19"/>
  <c r="X51" i="19"/>
  <c r="X21" i="19"/>
  <c r="R11" i="19"/>
  <c r="R31" i="19"/>
  <c r="AJ41" i="19"/>
  <c r="L31" i="19"/>
  <c r="R51" i="19"/>
  <c r="X31" i="19"/>
  <c r="X11" i="19"/>
  <c r="X41" i="19"/>
  <c r="AJ31" i="19"/>
  <c r="AD51" i="19"/>
  <c r="R41" i="19"/>
  <c r="AD21" i="19"/>
  <c r="L51" i="19"/>
  <c r="AD18" i="1"/>
  <c r="AC17" i="1"/>
  <c r="AC29" i="1"/>
  <c r="AD30" i="1"/>
  <c r="AC53" i="1"/>
  <c r="AD54" i="1"/>
  <c r="K42" i="19"/>
  <c r="AC32" i="19"/>
  <c r="W42" i="19"/>
  <c r="AI52" i="19"/>
  <c r="K22" i="19"/>
  <c r="Q32" i="19"/>
  <c r="AI12" i="19"/>
  <c r="AC52" i="19"/>
  <c r="Q42" i="19"/>
  <c r="AC42" i="19"/>
  <c r="K12" i="19"/>
  <c r="Q22" i="19"/>
  <c r="W52" i="19"/>
  <c r="AI42" i="19"/>
  <c r="W32" i="19"/>
  <c r="AI22" i="19"/>
  <c r="W12" i="19"/>
  <c r="AI32" i="19"/>
  <c r="AC12" i="19"/>
  <c r="Q12" i="19"/>
  <c r="Q52" i="19"/>
  <c r="AE46" i="1"/>
  <c r="K32" i="19"/>
  <c r="W22" i="19"/>
  <c r="K52" i="19"/>
  <c r="AC22" i="19"/>
  <c r="AC40" i="19"/>
  <c r="W10" i="19"/>
  <c r="AC50" i="19"/>
  <c r="Q10" i="19"/>
  <c r="Q30" i="19"/>
  <c r="W50" i="19"/>
  <c r="K40" i="19"/>
  <c r="Q50" i="19"/>
  <c r="W20" i="19"/>
  <c r="AE34" i="1"/>
  <c r="K10" i="19"/>
  <c r="Q40" i="19"/>
  <c r="K30" i="19"/>
  <c r="AI50" i="19"/>
  <c r="AI20" i="19"/>
  <c r="K50" i="19"/>
  <c r="AI40" i="19"/>
  <c r="W40" i="19"/>
  <c r="K20" i="19"/>
  <c r="AC10" i="19"/>
  <c r="AI10" i="19"/>
  <c r="AC20" i="19"/>
  <c r="AI30" i="19"/>
  <c r="AC30" i="19"/>
  <c r="W30" i="19"/>
  <c r="Q20" i="19"/>
  <c r="AE10"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D24" i="1"/>
  <c r="AC23" i="1"/>
  <c r="AC59" i="1"/>
  <c r="AD60" i="1"/>
  <c r="K39" i="19"/>
  <c r="AC39" i="19"/>
  <c r="W29" i="19"/>
  <c r="AI49" i="19"/>
  <c r="W9" i="19"/>
  <c r="AC19" i="19"/>
  <c r="Q49" i="19"/>
  <c r="W49" i="19"/>
  <c r="AC9" i="19"/>
  <c r="AI9" i="19"/>
  <c r="Q29" i="19"/>
  <c r="W39" i="19"/>
  <c r="Q39" i="19"/>
  <c r="AE28"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E52" i="1"/>
  <c r="Q33" i="19"/>
  <c r="AI23" i="19"/>
  <c r="K53" i="19"/>
  <c r="AC23" i="19"/>
  <c r="AC13" i="19"/>
  <c r="W23" i="19"/>
  <c r="W33" i="19"/>
  <c r="Q13" i="19"/>
  <c r="W13" i="19"/>
  <c r="AI13" i="19"/>
  <c r="Q43" i="19"/>
  <c r="Q23" i="19"/>
  <c r="W53" i="19"/>
  <c r="M12" i="19"/>
  <c r="AK42" i="19"/>
  <c r="AE32" i="19"/>
  <c r="AE48" i="1"/>
  <c r="M52" i="19"/>
  <c r="S12" i="19"/>
  <c r="M32" i="19"/>
  <c r="S52" i="19"/>
  <c r="Y52" i="19"/>
  <c r="Y42" i="19"/>
  <c r="AK12" i="19"/>
  <c r="S22" i="19"/>
  <c r="AE12" i="19"/>
  <c r="Y22" i="19"/>
  <c r="S32" i="19"/>
  <c r="AK52" i="19"/>
  <c r="M22" i="19"/>
  <c r="AK32" i="19"/>
  <c r="AE22" i="19"/>
  <c r="AE42" i="19"/>
  <c r="Y32" i="19"/>
  <c r="M42" i="19"/>
  <c r="Y12" i="19"/>
  <c r="AE52" i="19"/>
  <c r="AK22" i="19"/>
  <c r="S42" i="19"/>
  <c r="AC42" i="1"/>
  <c r="AD44" i="1"/>
  <c r="AC44" i="1"/>
  <c r="AD43" i="1"/>
  <c r="AC43" i="1"/>
  <c r="AC35" i="1"/>
  <c r="AD36" i="1"/>
  <c r="AD12" i="1"/>
  <c r="AC12" i="1"/>
  <c r="AC11" i="1"/>
  <c r="AD1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E22" i="1"/>
  <c r="AC13" i="1"/>
  <c r="AD14" i="1"/>
  <c r="AC14" i="1"/>
  <c r="R40" i="19"/>
  <c r="AD10" i="19"/>
  <c r="X40" i="19"/>
  <c r="AJ10" i="19"/>
  <c r="R50" i="19"/>
  <c r="X10" i="19"/>
  <c r="R30" i="19"/>
  <c r="AE35" i="1"/>
  <c r="L10" i="19"/>
  <c r="L50" i="19"/>
  <c r="AJ20" i="19"/>
  <c r="AJ40" i="19"/>
  <c r="AD30" i="19"/>
  <c r="R20" i="19"/>
  <c r="AD50" i="19"/>
  <c r="AJ30" i="19"/>
  <c r="AJ50" i="19"/>
  <c r="X30" i="19"/>
  <c r="AD20" i="19"/>
  <c r="L40" i="19"/>
  <c r="X50" i="19"/>
  <c r="X20" i="19"/>
  <c r="AD40" i="19"/>
  <c r="R10" i="19"/>
  <c r="L30" i="19"/>
  <c r="L20" i="19"/>
  <c r="AC54" i="1"/>
  <c r="AD55" i="1"/>
  <c r="AC67" i="1"/>
  <c r="AD68" i="1"/>
  <c r="AC68" i="1"/>
  <c r="AD47" i="19"/>
  <c r="AJ27" i="19"/>
  <c r="AD27" i="19"/>
  <c r="AJ7" i="19"/>
  <c r="AJ37" i="19"/>
  <c r="L27" i="19"/>
  <c r="AD17" i="19"/>
  <c r="L37" i="19"/>
  <c r="R17" i="19"/>
  <c r="AJ17" i="19"/>
  <c r="X7" i="19"/>
  <c r="X47" i="19"/>
  <c r="L7" i="19"/>
  <c r="L17" i="19"/>
  <c r="R27" i="19"/>
  <c r="X27" i="19"/>
  <c r="R7" i="19"/>
  <c r="X17" i="19"/>
  <c r="AJ47" i="19"/>
  <c r="L47" i="19"/>
  <c r="R37" i="19"/>
  <c r="AD7" i="19"/>
  <c r="X37" i="19"/>
  <c r="AE17" i="1"/>
  <c r="R47" i="19"/>
  <c r="AD37" i="19"/>
  <c r="AD25" i="1"/>
  <c r="AC25" i="1"/>
  <c r="AC24" i="1"/>
  <c r="AD26" i="1"/>
  <c r="AC26" i="1"/>
  <c r="AJ43" i="19"/>
  <c r="AD33" i="19"/>
  <c r="X33" i="19"/>
  <c r="X13" i="19"/>
  <c r="AD43" i="19"/>
  <c r="L43" i="19"/>
  <c r="AE53" i="1"/>
  <c r="X23" i="19"/>
  <c r="R33" i="19"/>
  <c r="R43" i="19"/>
  <c r="AD53" i="19"/>
  <c r="AJ13" i="19"/>
  <c r="R23" i="19"/>
  <c r="R13" i="19"/>
  <c r="AJ53" i="19"/>
  <c r="L33" i="19"/>
  <c r="L23" i="19"/>
  <c r="X43" i="19"/>
  <c r="X53" i="19"/>
  <c r="AD13" i="19"/>
  <c r="L53" i="19"/>
  <c r="L13" i="19"/>
  <c r="AD23" i="19"/>
  <c r="AJ33" i="19"/>
  <c r="AJ23" i="19"/>
  <c r="R53" i="19"/>
  <c r="AC18" i="1"/>
  <c r="AD19" i="1"/>
  <c r="M55" i="19"/>
  <c r="AK15" i="19"/>
  <c r="AE25" i="19"/>
  <c r="AE66"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E23"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E43"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E12" i="1"/>
  <c r="O11" i="19"/>
  <c r="O21" i="19"/>
  <c r="O51" i="19"/>
  <c r="AA31" i="19"/>
  <c r="AM31" i="19"/>
  <c r="AG51" i="19"/>
  <c r="AA41" i="19"/>
  <c r="AM11" i="19"/>
  <c r="U21" i="19"/>
  <c r="AG41" i="19"/>
  <c r="AM21" i="19"/>
  <c r="AM51" i="19"/>
  <c r="O41" i="19"/>
  <c r="U11" i="19"/>
  <c r="AG31" i="19"/>
  <c r="U41" i="19"/>
  <c r="AE44" i="1"/>
  <c r="AG11" i="19"/>
  <c r="AM41" i="19"/>
  <c r="AA21" i="19"/>
  <c r="AA51" i="19"/>
  <c r="U51" i="19"/>
  <c r="U31" i="19"/>
  <c r="AA11" i="19"/>
  <c r="AG21" i="19"/>
  <c r="O31" i="19"/>
  <c r="AC60" i="1"/>
  <c r="AD61" i="1"/>
  <c r="AC30" i="1"/>
  <c r="AD31" i="1"/>
  <c r="AC31" i="1"/>
  <c r="AD32" i="1"/>
  <c r="AC32" i="1"/>
  <c r="AJ46" i="19"/>
  <c r="AD46" i="19"/>
  <c r="L36" i="19"/>
  <c r="X16" i="19"/>
  <c r="AJ26" i="19"/>
  <c r="L46" i="19"/>
  <c r="X6" i="19"/>
  <c r="R36" i="19"/>
  <c r="X36" i="19"/>
  <c r="R6" i="19"/>
  <c r="AJ6" i="19"/>
  <c r="AD36" i="19"/>
  <c r="R46" i="19"/>
  <c r="AD26" i="19"/>
  <c r="L16" i="19"/>
  <c r="AD16" i="19"/>
  <c r="AE11" i="1"/>
  <c r="X46" i="19"/>
  <c r="X26" i="19"/>
  <c r="AJ36" i="19"/>
  <c r="R26" i="19"/>
  <c r="AD6" i="19"/>
  <c r="L6" i="19"/>
  <c r="L26" i="19"/>
  <c r="R16" i="19"/>
  <c r="AJ16" i="19"/>
  <c r="AC36" i="1"/>
  <c r="AD37" i="1"/>
  <c r="AE11" i="19"/>
  <c r="Y41" i="19"/>
  <c r="M41" i="19"/>
  <c r="Y21" i="19"/>
  <c r="AK41" i="19"/>
  <c r="S31" i="19"/>
  <c r="M31" i="19"/>
  <c r="M51" i="19"/>
  <c r="Y51" i="19"/>
  <c r="AK21" i="19"/>
  <c r="AK31" i="19"/>
  <c r="Y11" i="19"/>
  <c r="AE41" i="19"/>
  <c r="AE21" i="19"/>
  <c r="S51" i="19"/>
  <c r="AE51" i="19"/>
  <c r="AK51" i="19"/>
  <c r="M21" i="19"/>
  <c r="AE31" i="19"/>
  <c r="AE42" i="1"/>
  <c r="S41" i="19"/>
  <c r="AK11" i="19"/>
  <c r="S11" i="19"/>
  <c r="Y31" i="19"/>
  <c r="S21" i="19"/>
  <c r="M11" i="19"/>
  <c r="L54" i="19"/>
  <c r="AJ14" i="19"/>
  <c r="AD44" i="19"/>
  <c r="X54" i="19"/>
  <c r="R14" i="19"/>
  <c r="AD24" i="19"/>
  <c r="AD34" i="19"/>
  <c r="R54" i="19"/>
  <c r="L34" i="19"/>
  <c r="AJ34" i="19"/>
  <c r="X24" i="19"/>
  <c r="AJ24" i="19"/>
  <c r="X44" i="19"/>
  <c r="R24" i="19"/>
  <c r="AE59" i="1"/>
  <c r="X34" i="19"/>
  <c r="L14" i="19"/>
  <c r="AD14" i="19"/>
  <c r="L44" i="19"/>
  <c r="R44" i="19"/>
  <c r="AD54" i="19"/>
  <c r="X14" i="19"/>
  <c r="AJ44" i="19"/>
  <c r="R34" i="19"/>
  <c r="AJ54" i="19"/>
  <c r="L24" i="19"/>
  <c r="AD29" i="19"/>
  <c r="AD19" i="19"/>
  <c r="R39" i="19"/>
  <c r="R9" i="19"/>
  <c r="X49" i="19"/>
  <c r="X9" i="19"/>
  <c r="AD39" i="19"/>
  <c r="R29" i="19"/>
  <c r="L49" i="19"/>
  <c r="X19" i="19"/>
  <c r="X29" i="19"/>
  <c r="X39" i="19"/>
  <c r="L9" i="19"/>
  <c r="AE29" i="1"/>
  <c r="AD9" i="19"/>
  <c r="AJ49" i="19"/>
  <c r="L39" i="19"/>
  <c r="R19" i="19"/>
  <c r="AJ39" i="19"/>
  <c r="AJ29" i="19"/>
  <c r="AJ19" i="19"/>
  <c r="AJ9" i="19"/>
  <c r="AD49" i="19"/>
  <c r="L19" i="19"/>
  <c r="L29" i="19"/>
  <c r="R49" i="19"/>
  <c r="AC37" i="1"/>
  <c r="AD38" i="1"/>
  <c r="AC38" i="1"/>
  <c r="AG39" i="19"/>
  <c r="AG29" i="19"/>
  <c r="AM19" i="19"/>
  <c r="O39" i="19"/>
  <c r="AE32"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60" i="1"/>
  <c r="AE24" i="19"/>
  <c r="S14" i="19"/>
  <c r="AK17" i="19"/>
  <c r="S27" i="19"/>
  <c r="S37" i="19"/>
  <c r="AE27" i="19"/>
  <c r="Y47" i="19"/>
  <c r="S7" i="19"/>
  <c r="M17" i="19"/>
  <c r="AE17" i="19"/>
  <c r="AK27" i="19"/>
  <c r="Y7" i="19"/>
  <c r="Y37" i="19"/>
  <c r="AE37" i="19"/>
  <c r="Y27" i="19"/>
  <c r="M47" i="19"/>
  <c r="AE18"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4" i="1"/>
  <c r="AE28" i="19"/>
  <c r="AA55" i="19"/>
  <c r="O45" i="19"/>
  <c r="AA15" i="19"/>
  <c r="AM55" i="19"/>
  <c r="O55" i="19"/>
  <c r="AG35" i="19"/>
  <c r="AM25" i="19"/>
  <c r="AM35" i="19"/>
  <c r="AA25" i="19"/>
  <c r="AM45" i="19"/>
  <c r="AG25" i="19"/>
  <c r="AA35" i="19"/>
  <c r="O25" i="19"/>
  <c r="U25" i="19"/>
  <c r="AG45" i="19"/>
  <c r="U35" i="19"/>
  <c r="AA45" i="19"/>
  <c r="AM15" i="19"/>
  <c r="U45" i="19"/>
  <c r="O35" i="19"/>
  <c r="O15" i="19"/>
  <c r="AE68" i="1"/>
  <c r="AG15" i="19"/>
  <c r="U15" i="19"/>
  <c r="AG55" i="19"/>
  <c r="U55" i="19"/>
  <c r="AE40" i="19"/>
  <c r="Y30" i="19"/>
  <c r="M20" i="19"/>
  <c r="AE36"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E31" i="1"/>
  <c r="T19" i="19"/>
  <c r="AL49" i="19"/>
  <c r="T29" i="19"/>
  <c r="AF29" i="19"/>
  <c r="T18" i="19"/>
  <c r="N48" i="19"/>
  <c r="N8" i="19"/>
  <c r="T28" i="19"/>
  <c r="AF38" i="19"/>
  <c r="Z28" i="19"/>
  <c r="Z18" i="19"/>
  <c r="AF8" i="19"/>
  <c r="AE25"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E67"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E30" i="1"/>
  <c r="M9" i="19"/>
  <c r="Y29" i="19"/>
  <c r="AC55" i="1"/>
  <c r="AD56" i="1"/>
  <c r="AC56" i="1"/>
  <c r="AM46" i="19"/>
  <c r="U36" i="19"/>
  <c r="AG16" i="19"/>
  <c r="O6" i="19"/>
  <c r="AA36" i="19"/>
  <c r="AM16" i="19"/>
  <c r="U6" i="19"/>
  <c r="AG46" i="19"/>
  <c r="AA16" i="19"/>
  <c r="AE14" i="1"/>
  <c r="AA6" i="19"/>
  <c r="AG6" i="19"/>
  <c r="AA46" i="19"/>
  <c r="AM26" i="19"/>
  <c r="U16" i="19"/>
  <c r="O36" i="19"/>
  <c r="U26" i="19"/>
  <c r="O46" i="19"/>
  <c r="AA26" i="19"/>
  <c r="AM6" i="19"/>
  <c r="U46" i="19"/>
  <c r="AG26" i="19"/>
  <c r="O16" i="19"/>
  <c r="AG36" i="19"/>
  <c r="O26" i="19"/>
  <c r="AM36" i="19"/>
  <c r="AC61" i="1"/>
  <c r="AD62" i="1"/>
  <c r="AC62" i="1"/>
  <c r="AD20" i="1"/>
  <c r="AC20" i="1"/>
  <c r="AC19" i="1"/>
  <c r="O8" i="19"/>
  <c r="AA48" i="19"/>
  <c r="AM38" i="19"/>
  <c r="U48" i="19"/>
  <c r="AA18" i="19"/>
  <c r="AG18" i="19"/>
  <c r="AG48" i="19"/>
  <c r="AM18" i="19"/>
  <c r="AA28" i="19"/>
  <c r="AG28" i="19"/>
  <c r="AA8" i="19"/>
  <c r="U18" i="19"/>
  <c r="AG38" i="19"/>
  <c r="U38" i="19"/>
  <c r="AM8" i="19"/>
  <c r="AA38" i="19"/>
  <c r="AM48" i="19"/>
  <c r="U28" i="19"/>
  <c r="O38" i="19"/>
  <c r="U8" i="19"/>
  <c r="AG8" i="19"/>
  <c r="AE26"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E54" i="1"/>
  <c r="M33" i="19"/>
  <c r="AF6" i="19"/>
  <c r="N46" i="19"/>
  <c r="Z26" i="19"/>
  <c r="AL6" i="19"/>
  <c r="AL36" i="19"/>
  <c r="AF26" i="19"/>
  <c r="Z6" i="19"/>
  <c r="T26" i="19"/>
  <c r="Z46" i="19"/>
  <c r="AF46" i="19"/>
  <c r="T46" i="19"/>
  <c r="T6" i="19"/>
  <c r="AF36" i="19"/>
  <c r="N26" i="19"/>
  <c r="Z16" i="19"/>
  <c r="AL26" i="19"/>
  <c r="Z36" i="19"/>
  <c r="N36" i="19"/>
  <c r="AL46" i="19"/>
  <c r="T36" i="19"/>
  <c r="AF16" i="19"/>
  <c r="N6" i="19"/>
  <c r="N16" i="19"/>
  <c r="AE13" i="1"/>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E62" i="1"/>
  <c r="AA14" i="19"/>
  <c r="O54" i="19"/>
  <c r="U44" i="19"/>
  <c r="U43" i="19"/>
  <c r="U13" i="19"/>
  <c r="AM53" i="19"/>
  <c r="AA53" i="19"/>
  <c r="AA43" i="19"/>
  <c r="O53" i="19"/>
  <c r="O23" i="19"/>
  <c r="O13" i="19"/>
  <c r="AG43" i="19"/>
  <c r="U33" i="19"/>
  <c r="U23" i="19"/>
  <c r="AM13" i="19"/>
  <c r="AM23" i="19"/>
  <c r="AG13" i="19"/>
  <c r="AA23" i="19"/>
  <c r="AG33" i="19"/>
  <c r="AA33" i="19"/>
  <c r="AM33" i="19"/>
  <c r="AA13" i="19"/>
  <c r="AE56"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E61" i="1"/>
  <c r="AF53" i="19"/>
  <c r="T43" i="19"/>
  <c r="Z53" i="19"/>
  <c r="N43" i="19"/>
  <c r="T23" i="19"/>
  <c r="AF43" i="19"/>
  <c r="Z13" i="19"/>
  <c r="Z43" i="19"/>
  <c r="AF23" i="19"/>
  <c r="AL13" i="19"/>
  <c r="Z23" i="19"/>
  <c r="AL43" i="19"/>
  <c r="AF13" i="19"/>
  <c r="AL23" i="19"/>
  <c r="N13" i="19"/>
  <c r="T33" i="19"/>
  <c r="AL53" i="19"/>
  <c r="N23" i="19"/>
  <c r="N53" i="19"/>
  <c r="AF33" i="19"/>
  <c r="N33" i="19"/>
  <c r="AE55" i="1"/>
  <c r="T53" i="19"/>
  <c r="AL33" i="19"/>
  <c r="T13" i="19"/>
  <c r="Z33" i="19"/>
  <c r="Z47" i="19"/>
  <c r="T7" i="19"/>
  <c r="AL37" i="19"/>
  <c r="T17" i="19"/>
  <c r="Z17" i="19"/>
  <c r="AF7" i="19"/>
  <c r="AF37" i="19"/>
  <c r="N17" i="19"/>
  <c r="AF27" i="19"/>
  <c r="AE19"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E38"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E20" i="1"/>
  <c r="AA17" i="19"/>
  <c r="O7" i="19"/>
  <c r="AA37" i="19"/>
  <c r="AA27" i="19"/>
  <c r="AM27" i="19"/>
  <c r="U17" i="19"/>
  <c r="U47" i="19"/>
  <c r="AG17" i="19"/>
  <c r="O47" i="19"/>
  <c r="Z40" i="19"/>
  <c r="AE37"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<sst xmlns="http://schemas.openxmlformats.org/spreadsheetml/2006/main" count="355" uniqueCount="237">
  <si>
    <t xml:space="preserve">Referencia </t>
  </si>
  <si>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</si>
  <si>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</si>
  <si>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</si>
  <si>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</si>
  <si>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</si>
  <si>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</si>
  <si>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</si>
  <si>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</si>
  <si>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</si>
  <si>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</si>
  <si>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</si>
  <si>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</si>
  <si>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</si>
  <si>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</si>
  <si>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</si>
  <si>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</si>
  <si>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</si>
  <si>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</si>
  <si>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</si>
  <si>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</si>
  <si>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</si>
  <si>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</si>
  <si>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</si>
  <si>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</si>
  <si>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</si>
  <si>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</si>
  <si>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</si>
  <si>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</si>
  <si>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</si>
  <si>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</si>
  <si>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</si>
  <si>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</si>
  <si>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</si>
  <si>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</si>
  <si>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</si>
  <si>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</si>
  <si>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</si>
  <si>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</si>
  <si>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</si>
  <si>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</si>
  <si>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</si>
  <si>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</si>
  <si>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</si>
  <si>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</si>
  <si>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</si>
  <si>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</si>
  <si>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</si>
  <si>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</si>
  <si>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</si>
  <si>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</si>
  <si>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</si>
  <si>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</si>
  <si>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</si>
  <si>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</si>
  <si>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</si>
  <si>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</si>
  <si>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</si>
  <si>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</si>
  <si>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</si>
  <si>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</si>
  <si>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</si>
  <si>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</si>
  <si>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</si>
  <si>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</si>
  <si>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</si>
  <si>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</si>
  <si>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</si>
  <si>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</si>
  <si>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</si>
  <si>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</si>
  <si>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</si>
  <si>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</si>
  <si>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</si>
  <si>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</si>
  <si>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</si>
  <si>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</si>
  <si>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</si>
  <si>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</si>
  <si>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</si>
  <si>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</si>
  <si>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</si>
  <si>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</si>
  <si>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</si>
  <si>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</si>
  <si>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</si>
  <si>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</si>
  <si>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</si>
  <si>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</si>
  <si>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</si>
  <si>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</si>
  <si>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</si>
  <si>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</si>
  <si>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</si>
  <si>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</si>
  <si>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</si>
  <si>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</si>
  <si>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</si>
  <si>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</si>
  <si>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</si>
  <si>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</si>
  <si>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</si>
  <si>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</si>
  <si>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</si>
  <si>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</si>
  <si>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</si>
  <si>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</si>
  <si>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</si>
  <si>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</si>
  <si>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</si>
  <si>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</si>
  <si>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</si>
  <si>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</si>
  <si>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</si>
  <si>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</si>
  <si>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</si>
  <si>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</si>
  <si>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</si>
  <si>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</si>
  <si>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</si>
  <si>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</si>
  <si>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</si>
  <si>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</si>
  <si>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</si>
  <si>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</si>
  <si>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</si>
  <si>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</si>
  <si>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</si>
  <si>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</si>
  <si>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</si>
  <si>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</si>
  <si>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</si>
  <si>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</si>
  <si>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</si>
  <si>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</si>
  <si>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</si>
  <si>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</si>
  <si>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</si>
  <si>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</si>
  <si>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</si>
  <si>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</si>
  <si>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</si>
  <si>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</si>
  <si>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</si>
  <si>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</si>
  <si>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</si>
  <si>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</si>
  <si>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</si>
  <si>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</si>
  <si>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</si>
  <si>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</si>
  <si>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</si>
  <si>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</si>
  <si>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</si>
  <si>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</si>
  <si>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</si>
  <si>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</si>
  <si>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</si>
  <si>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</si>
  <si>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</si>
  <si>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Frecuencia con la cual se lleva a cabo la actividad</t>
  </si>
  <si>
    <t>Criterios de Impacto</t>
  </si>
  <si>
    <t>Utilice la lista de despligue que se encuentra parametrizada, le aparecerán las opciones: i)Preventivo, ii)Detectivo, iii)Correctivo.</t>
  </si>
  <si>
    <t>Utilice la lista de despligue que se encuentra parametrizada, le aparecerán las opciones: i)Automático, ii)Manual.</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</si>
  <si>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</si>
  <si>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</si>
  <si>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</si>
  <si>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</si>
  <si>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</si>
  <si>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</si>
  <si>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</si>
  <si>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</si>
  <si>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</si>
  <si>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</si>
  <si>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</si>
  <si>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</si>
  <si>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</si>
  <si>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</si>
  <si>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</si>
  <si>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</si>
  <si>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</si>
  <si>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</si>
  <si>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</si>
  <si>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</si>
  <si>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</si>
  <si>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Una matriz de riesgos, es una herramienta, útil, que permite identificar los riesgos a los que se está expuesto. De esta manera, se pueden determinar los niveles aceptables de exposición a aquellos, así como establecer el control apropiado frente a los mismos y monitorear la efectividad del método de control elegido. Físicamente, es una guía visual que permite, mediante su diseño, una rápida identificación de las prioridades que deben ser atendidas para así acelerar la toma de decisiones.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t>
    </r>
    <r>
      <rPr>
        <sz val="10"/>
        <rFont val="Arial Narrow"/>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</si>
  <si>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6" tint="-0.249977111117893"/>
        <rFont val="Arial Narrow"/>
        <family val="2"/>
      </rPr>
      <t>Paso 2: identificación del riesgo</t>
    </r>
    <r>
      <rPr>
        <sz val="11"/>
        <color theme="6" tint="-0.249977111117893"/>
        <rFont val="Arial Narrow"/>
        <family val="2"/>
      </rPr>
      <t>,</t>
    </r>
    <r>
      <rPr>
        <sz val="11"/>
        <rFont val="Arial Narrow"/>
        <family val="2"/>
      </rPr>
      <t xml:space="preserve"> donde se explica ampliamente las bases para adelanter este análisis.
Así mismo, considere en el </t>
    </r>
    <r>
      <rPr>
        <b/>
        <sz val="11"/>
        <color theme="6"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6"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</si>
  <si>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rFont val="Arial Narrow"/>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</si>
  <si>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9"/>
        <rFont val="Arial Narrow"/>
        <family val="2"/>
      </rPr>
      <t>Responsable de ejecutar el control + Acción + Complemento</t>
    </r>
  </si>
  <si>
    <t>Objetivo Estratégico</t>
  </si>
  <si>
    <t>Contexto Estrategico Interno - Enterno - Proceso</t>
  </si>
  <si>
    <r>
      <t>Utilice la lista de despligue que se encuentra parametrizada, le aparecerán las opciones:</t>
    </r>
    <r>
      <rPr>
        <b/>
        <sz val="9"/>
        <rFont val="Arial Narrow"/>
        <family val="2"/>
      </rPr>
      <t xml:space="preserve"> i)Estratégicos ii) Imagen iii) Operativos iv)Financieros v)Legal o de Cumplimiento vi) Tecnológicos vii) Fraude viii) Corrupción ix) Imparcialidad x) Confidencialidad xi) Seguridad de la información </t>
    </r>
  </si>
  <si>
    <t xml:space="preserve">Causa </t>
  </si>
  <si>
    <t>Corresponde a las razones por la cuales se puede presentar  el riesgo, redacte de la forma más concreta posible.</t>
  </si>
  <si>
    <r>
      <t xml:space="preserve">Analice las consecuencias que puede ocasionar a la organización la materialización del riesgo. El riesgo se puede clasificar en: Un </t>
    </r>
    <r>
      <rPr>
        <b/>
        <sz val="9"/>
        <rFont val="Arial Narrow"/>
        <family val="2"/>
      </rPr>
      <t>riesgo negativo</t>
    </r>
    <r>
      <rPr>
        <sz val="9"/>
        <rFont val="Arial Narrow"/>
        <family val="2"/>
      </rPr>
      <t xml:space="preserve"> es una amenaza, y cuando ocurre, se transforma en un problema. No obstante, un</t>
    </r>
    <r>
      <rPr>
        <b/>
        <sz val="9"/>
        <rFont val="Arial Narrow"/>
        <family val="2"/>
      </rPr>
      <t xml:space="preserve"> riesgo puede ser positivo</t>
    </r>
    <r>
      <rPr>
        <sz val="9"/>
        <rFont val="Arial Narrow"/>
        <family val="2"/>
      </rPr>
      <t xml:space="preserve"> al proporcionar una solución.</t>
    </r>
    <r>
      <rPr>
        <b/>
        <sz val="9"/>
        <rFont val="Arial Narrow"/>
        <family val="2"/>
      </rPr>
      <t xml:space="preserve"> </t>
    </r>
  </si>
  <si>
    <t xml:space="preserve">Permite definir unl consecutivo de riesgos.
Una entidad puede ir en el riesgo 150, pero tener 70 riesgos, lo que permite llevar una traza de los riesgos. Esta información la debe administrar la oficina  Subdireción de planeación o calidad .  Cuando un  riesgo salga del mapa no existirá otro riesgo con el mismo número. </t>
  </si>
  <si>
    <t>Identificar los Objetivo estrategico a cual afecta directamente el Riesgo</t>
  </si>
  <si>
    <t xml:space="preserve"> Descripción del Riesgo</t>
  </si>
  <si>
    <t>Riesgo</t>
  </si>
  <si>
    <t xml:space="preserve">Describir la amenaza que pueda materializarce  y afectar de manera Negativa o Positivamente su proceso </t>
  </si>
  <si>
    <t>Impacto o Consecuencia</t>
  </si>
  <si>
    <t>Contexto Estrategico Interno - Externo - Proceso</t>
  </si>
  <si>
    <r>
      <t xml:space="preserve">Identificar el contexto estrategico con el cual se relaciona directamente el riesgo. </t>
    </r>
    <r>
      <rPr>
        <b/>
        <sz val="9"/>
        <rFont val="Arial Narrow"/>
        <family val="2"/>
      </rPr>
      <t xml:space="preserve">Interno;  Externo; Proceso </t>
    </r>
    <r>
      <rPr>
        <sz val="9"/>
        <rFont val="Arial Narrow"/>
        <family val="2"/>
      </rPr>
      <t xml:space="preserve"> </t>
    </r>
  </si>
  <si>
    <r>
      <t>Defina el # de veces que se puede materializar el riesgo durante el año, (Recuerde la probabilidad u ocurrencia del riesgo se defien como el No. de veces que se pasa por el punto de riesgo en el periodo de 1 año). La matriz automáticamente hará el cálculo para el nivel de probabilidad inherente</t>
    </r>
    <r>
      <rPr>
        <sz val="9"/>
        <color theme="1"/>
        <rFont val="Arial Narrow"/>
        <family val="2"/>
      </rPr>
      <t xml:space="preserve"> (Columnas J-K)</t>
    </r>
  </si>
  <si>
    <r>
      <t>Utilice la lista de despligue que se encuentra parametrizada, le aparecerán las opciones de la tabla de Impacto en la Hoja 6 del presente documento. La matriz automáticamente hará el cálculo para el nivel de impacto inherente</t>
    </r>
    <r>
      <rPr>
        <sz val="9"/>
        <color theme="1"/>
        <rFont val="Arial Narrow"/>
        <family val="2"/>
      </rPr>
      <t xml:space="preserve"> (Columnas N-O)</t>
    </r>
  </si>
  <si>
    <r>
      <t xml:space="preserve">Teniendo en cuenta que ingresó la información de PROBABILIDAD e IMPACTO, la matriz automáticamente hará el cálculo para la zona de riesgo inherente </t>
    </r>
    <r>
      <rPr>
        <sz val="9"/>
        <color theme="1"/>
        <rFont val="Arial Narrow"/>
        <family val="2"/>
      </rPr>
      <t>(Columna P)</t>
    </r>
  </si>
  <si>
    <r>
      <t xml:space="preserve">Esta casilla no se diligencia, depende de la selección en la </t>
    </r>
    <r>
      <rPr>
        <sz val="9"/>
        <color theme="1"/>
        <rFont val="Arial Narrow"/>
        <family val="2"/>
      </rPr>
      <t>columna S.</t>
    </r>
  </si>
  <si>
    <r>
      <t>La matriz automáticamente hará el cálculo para el control analizado</t>
    </r>
    <r>
      <rPr>
        <sz val="9"/>
        <color rgb="FFFF0000"/>
        <rFont val="Arial Narrow"/>
        <family val="2"/>
      </rPr>
      <t xml:space="preserve"> </t>
    </r>
    <r>
      <rPr>
        <sz val="9"/>
        <color theme="1"/>
        <rFont val="Arial Narrow"/>
        <family val="2"/>
      </rPr>
      <t xml:space="preserve">(Columna V) </t>
    </r>
  </si>
  <si>
    <r>
      <t>La matriz automáticamente hará el cálculo, acorde con el control o controles definidos con sus atributos analizados, lo que permitirá establecer el</t>
    </r>
    <r>
      <rPr>
        <b/>
        <sz val="9"/>
        <rFont val="Arial Narrow"/>
        <family val="2"/>
      </rPr>
      <t xml:space="preserve"> nivel de riesgo inherente</t>
    </r>
    <r>
      <rPr>
        <sz val="9"/>
        <color theme="1"/>
        <rFont val="Arial Narrow"/>
        <family val="2"/>
      </rPr>
      <t xml:space="preserve"> (Columnas AA -AB- AC-AD-AE).</t>
    </r>
  </si>
  <si>
    <t>Negativo (Amenaza)</t>
  </si>
  <si>
    <t xml:space="preserve">Positivo (Oportunidad) </t>
  </si>
  <si>
    <t>Fortalecimiento del Sistema Integrado de Gestión de la Calidad y el Modelo Integrado de Planeación y Gestión.</t>
  </si>
  <si>
    <t>Estratégicos</t>
  </si>
  <si>
    <t>Financieros
Políticos: Cambio de gobierno con nuevos planes y proyectos de Desarrollo, Falta de continuidad en los programas establecido
Legal: Cambios legales y normativos aplicables a la Entidad y a los procesos.
-	Comunicación entre los procesos: Efectividad en los flujos de información determinados en la interacción de los procesos.</t>
  </si>
  <si>
    <t xml:space="preserve">Demoras en apropiación y ejecución de recursos
Dificultades para la definición de proyectos acorde con el Plan de acción
Demora en los reportes sobre la  ejecución de los  planes, programas y proyectos por parte de los lideres procesos de la entidad.
deficiencia en la comunicacion de los procesos </t>
  </si>
  <si>
    <t xml:space="preserve">Baja por se ejecutan las acciones </t>
  </si>
  <si>
    <t>Inferior por q no hay perdidas economicas</t>
  </si>
  <si>
    <t>Delegación de supervisión y seguimientos de los proyectos y programas para el apoyo a Jefe de deportes</t>
  </si>
  <si>
    <t>Jefe de oficina de deportes</t>
  </si>
  <si>
    <t>Jefe de Oficina de planeacion
jefe de oficina Administrativa y financiera</t>
  </si>
  <si>
    <t>jefe de oficina  de planeacion</t>
  </si>
  <si>
    <t>Proceso: CARACTERIZACION DEL PROCESO GESTIÓN DE PROYECTOS</t>
  </si>
  <si>
    <t>Objetivo: Formular, presentar, gestionar y ejecutar proyectos ante Entidades Públicas y Privadas, que permitan dar cumplimiento al Objeto misional de la Entidad.</t>
  </si>
  <si>
    <t>Alcance:   Inicia con la identificación o recepción de necesidades y perfiles de proyectos y concluye con las actividades de cierre correspondientes, involucrando la toma de decisiones correctivas, y/o de mejora cuando aplique</t>
  </si>
  <si>
    <t xml:space="preserve">MAPA DE RIESGOS </t>
  </si>
  <si>
    <t xml:space="preserve">Posibilidad de pérdida de credibilidad de nuestros grupos de interés, por no  alcanzar las metas de los  proyectos formulados , debido, tanto a la inadecuada formulacióNn y al  reporte errado de los avances y/o al mal uso de las herramientas  utilizadas en la etapa de seguimiento.
</t>
  </si>
  <si>
    <t>reporte al SUIFP</t>
  </si>
  <si>
    <t>la oficina de Planeación asesoran y brindan acompañamiento a la formulación y seguimiento de  los planes y proyectos, a través de las metas propuestas. con base en lo establecido en el Plan  Desarrollo vigentel. Como evidencia del asesoramiento en la fomulación se generan las fichas de los indicadores y del seguimiento los reportes mensuales.</t>
  </si>
  <si>
    <t>Realizar ajustes al proyectos necesarios para cumplir con las metas del plan de acción</t>
  </si>
  <si>
    <t>Posibilidad de afectación de la imagen institucional, por pérdida de  conocimiento en la estructuración y gestión de los proyectos, debido a la  insuficiencia en la identificación, diseño y/o socialización de herramientas de  apropiación y circulación del conocimiento</t>
  </si>
  <si>
    <t>Sistemas de gestión ineficientes, deficiente conocimiento en gestion de proyectos</t>
  </si>
  <si>
    <t>Operativos</t>
  </si>
  <si>
    <t>la oficina de planeación hace seguimiento de los proyectos a traves del SUIFP  y con informes enviados a la secretaria de planeacion de la alcaldia municipal</t>
  </si>
  <si>
    <t>realizar capacitacion sobre gestion de proyectos</t>
  </si>
  <si>
    <t>Se realizo reunion con el equipo de trabajo y promotores de deportes donde se realizo asignación de supervisiones (gestors de parques, apoyo a la gestion, personal de escuelas) y coordinacion de eventos deportivos y recreativos a los promotores (cumpleaños de Valledupar) y la obligatoriedad de la entrega de informes de actividades deportivas y recreativas</t>
  </si>
  <si>
    <t>Programada para el 2022</t>
  </si>
  <si>
    <t>se revisaron los proyectos y sus presupuestos para llevar concordancia con el presupuesto y rubro asignado, ajustes necesarios en el SUIPT y SAGEP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</si>
</sst>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11"/>
      <color theme="6" tint="-0.249977111117893"/>
      <name val="Arial Narrow"/>
      <family val="2"/>
    </font>
    <font>
      <sz val="11"/>
      <color theme="6" tint="-0.249977111117893"/>
      <name val="Arial Narrow"/>
      <family val="2"/>
    </font>
    <font>
      <b/>
      <sz val="10"/>
      <color theme="6" tint="-0.249977111117893"/>
      <name val="Arial Narrow"/>
      <family val="2"/>
    </font>
    <font>
      <b/>
      <sz val="22"/>
      <name val="Arial Narrow"/>
      <family val="2"/>
    </font>
    <font>
      <sz val="9"/>
      <color rgb="FFFF0000"/>
      <name val="Arial Narrow"/>
      <family val="2"/>
    </font>
    <font>
      <sz val="10"/>
      <color rgb="FFFF0000"/>
      <name val="Arial Narrow"/>
      <family val="2"/>
    </font>
    <font>
      <sz val="9"/>
      <color theme="1"/>
      <name val="Arial Narrow"/>
      <family val="2"/>
    </font>
    <font>
      <sz val="8"/>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39997558519241921"/>
        <bgColor indexed="64"/>
      </patternFill>
    </fill>
  </fills>
  <borders count="69">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theme="6" tint="-0.249977111117893"/>
      </left>
      <right style="hair">
        <color theme="6" tint="-0.249977111117893"/>
      </right>
      <top style="hair">
        <color theme="6" tint="-0.249977111117893"/>
      </top>
      <bottom style="hair">
        <color theme="6" tint="-0.249977111117893"/>
      </bottom>
      <diagonal/>
    </border>
    <border>
      <left style="hair">
        <color theme="6" tint="-0.249977111117893"/>
      </left>
      <right style="hair">
        <color theme="6" tint="-0.249977111117893"/>
      </right>
      <top style="hair">
        <color theme="6" tint="-0.249977111117893"/>
      </top>
      <bottom/>
      <diagonal/>
    </border>
    <border>
      <left style="hair">
        <color theme="6" tint="-0.249977111117893"/>
      </left>
      <right style="hair">
        <color theme="6" tint="-0.249977111117893"/>
      </right>
      <top/>
      <bottom style="hair">
        <color theme="6" tint="-0.249977111117893"/>
      </bottom>
      <diagonal/>
    </border>
    <border>
      <left style="hair">
        <color theme="6" tint="-0.249977111117893"/>
      </left>
      <right style="hair">
        <color theme="6" tint="-0.249977111117893"/>
      </right>
      <top/>
      <bottom/>
      <diagonal/>
    </border>
    <border>
      <left/>
      <right style="hair">
        <color theme="6" tint="-0.249977111117893"/>
      </right>
      <top style="hair">
        <color theme="6" tint="-0.249977111117893"/>
      </top>
      <bottom style="hair">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3" fillId="0" borderId="0" applyFont="0" applyFill="0" applyBorder="0" applyAlignment="0" applyProtection="0"/>
    <xf numFmtId="0" fontId="46" fillId="0" borderId="0"/>
    <xf numFmtId="0" fontId="47" fillId="0" borderId="0"/>
    <xf numFmtId="0" fontId="5" fillId="0" borderId="0"/>
  </cellStyleXfs>
  <cellXfs count="382">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2" xfId="0" applyFont="1" applyFill="1" applyBorder="1" applyAlignment="1">
      <alignment horizontal="center" vertical="center" wrapText="1" readingOrder="1"/>
    </xf>
    <xf numFmtId="0" fontId="9" fillId="0" borderId="2" xfId="0" applyFont="1" applyBorder="1" applyAlignment="1">
      <alignment horizontal="justify" vertical="center" wrapText="1" readingOrder="1"/>
    </xf>
    <xf numFmtId="9" fontId="9" fillId="0" borderId="2"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1"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2"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2"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8" fillId="3" borderId="37" xfId="2" applyFont="1" applyFill="1" applyBorder="1" applyProtection="1"/>
    <xf numFmtId="0" fontId="48" fillId="3" borderId="38" xfId="2" applyFont="1" applyFill="1" applyBorder="1" applyProtection="1"/>
    <xf numFmtId="0" fontId="48" fillId="3" borderId="39" xfId="2" applyFont="1" applyFill="1" applyBorder="1" applyProtection="1"/>
    <xf numFmtId="0" fontId="15" fillId="3" borderId="0" xfId="0" applyFont="1" applyFill="1" applyAlignment="1">
      <alignment vertical="center"/>
    </xf>
    <xf numFmtId="0" fontId="5" fillId="3" borderId="0" xfId="0" applyFont="1" applyFill="1"/>
    <xf numFmtId="0" fontId="35" fillId="3" borderId="0" xfId="0" applyFont="1" applyFill="1"/>
    <xf numFmtId="0" fontId="36" fillId="3" borderId="20" xfId="0" applyFont="1" applyFill="1" applyBorder="1" applyAlignment="1">
      <alignment horizontal="center" vertical="center" wrapText="1" readingOrder="1"/>
    </xf>
    <xf numFmtId="0" fontId="37" fillId="3" borderId="20" xfId="0" applyFont="1" applyFill="1" applyBorder="1" applyAlignment="1">
      <alignment horizontal="justify" vertical="center" wrapText="1" readingOrder="1"/>
    </xf>
    <xf numFmtId="9" fontId="36" fillId="3" borderId="29" xfId="0" applyNumberFormat="1"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7" fillId="3" borderId="19" xfId="0" applyFont="1" applyFill="1" applyBorder="1" applyAlignment="1">
      <alignment horizontal="justify" vertical="center" wrapText="1" readingOrder="1"/>
    </xf>
    <xf numFmtId="9" fontId="36" fillId="3" borderId="24" xfId="0" applyNumberFormat="1"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7" fillId="3" borderId="26" xfId="0" applyFont="1" applyFill="1" applyBorder="1" applyAlignment="1">
      <alignment horizontal="justify" vertical="center" wrapText="1" readingOrder="1"/>
    </xf>
    <xf numFmtId="0" fontId="37" fillId="3" borderId="27" xfId="0" applyFont="1" applyFill="1" applyBorder="1" applyAlignment="1">
      <alignment horizontal="center" vertical="center" wrapText="1" readingOrder="1"/>
    </xf>
    <xf numFmtId="0" fontId="45" fillId="3" borderId="0" xfId="0" applyFont="1" applyFill="1"/>
    <xf numFmtId="0" fontId="12" fillId="3" borderId="0" xfId="0" applyFont="1" applyFill="1"/>
    <xf numFmtId="0" fontId="30"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8" fillId="3" borderId="5"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6" xfId="2" applyFont="1" applyFill="1" applyBorder="1" applyProtection="1"/>
    <xf numFmtId="0" fontId="48" fillId="3" borderId="7" xfId="2" applyFont="1" applyFill="1" applyBorder="1" applyProtection="1"/>
    <xf numFmtId="0" fontId="48" fillId="3" borderId="9" xfId="2" applyFont="1" applyFill="1" applyBorder="1" applyProtection="1"/>
    <xf numFmtId="0" fontId="48" fillId="3" borderId="8"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6" xfId="2" applyFont="1" applyFill="1" applyBorder="1" applyAlignment="1" applyProtection="1"/>
    <xf numFmtId="0" fontId="50" fillId="3" borderId="5"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6" xfId="2" quotePrefix="1" applyFont="1" applyFill="1" applyBorder="1" applyAlignment="1" applyProtection="1">
      <alignment horizontal="left" vertical="top" wrapText="1"/>
    </xf>
    <xf numFmtId="0" fontId="1" fillId="3" borderId="61" xfId="0" applyFont="1" applyFill="1" applyBorder="1"/>
    <xf numFmtId="0" fontId="1" fillId="0" borderId="61" xfId="0" applyFont="1" applyBorder="1"/>
    <xf numFmtId="0" fontId="4" fillId="3" borderId="61" xfId="0" applyFont="1" applyFill="1" applyBorder="1" applyAlignment="1">
      <alignment horizontal="center" vertical="center"/>
    </xf>
    <xf numFmtId="0" fontId="4" fillId="2" borderId="61" xfId="0" applyFont="1" applyFill="1" applyBorder="1" applyAlignment="1">
      <alignment horizontal="center" vertical="center"/>
    </xf>
    <xf numFmtId="0" fontId="1" fillId="0" borderId="61" xfId="0" applyFont="1" applyBorder="1" applyAlignment="1" applyProtection="1">
      <alignment horizontal="center" vertical="center"/>
    </xf>
    <xf numFmtId="0" fontId="6" fillId="0" borderId="61" xfId="0" applyFont="1" applyBorder="1" applyAlignment="1" applyProtection="1">
      <alignment horizontal="justify" vertical="center" wrapText="1"/>
      <protection locked="0"/>
    </xf>
    <xf numFmtId="0" fontId="1"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textRotation="90"/>
      <protection locked="0"/>
    </xf>
    <xf numFmtId="9" fontId="1" fillId="0" borderId="61" xfId="0" applyNumberFormat="1" applyFont="1" applyBorder="1" applyAlignment="1" applyProtection="1">
      <alignment horizontal="center" vertical="center"/>
      <protection hidden="1"/>
    </xf>
    <xf numFmtId="164" fontId="1" fillId="0" borderId="61" xfId="1" applyNumberFormat="1" applyFont="1" applyBorder="1" applyAlignment="1">
      <alignment horizontal="center" vertical="center"/>
    </xf>
    <xf numFmtId="0" fontId="4" fillId="0" borderId="61" xfId="0" applyFont="1" applyFill="1" applyBorder="1" applyAlignment="1" applyProtection="1">
      <alignment horizontal="center" vertical="center" textRotation="90" wrapText="1"/>
      <protection hidden="1"/>
    </xf>
    <xf numFmtId="0" fontId="4" fillId="0" borderId="61" xfId="0" applyFont="1" applyBorder="1" applyAlignment="1" applyProtection="1">
      <alignment horizontal="center" vertical="center" textRotation="90"/>
      <protection hidden="1"/>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14" fontId="1" fillId="0" borderId="61" xfId="0" applyNumberFormat="1" applyFont="1" applyBorder="1" applyAlignment="1" applyProtection="1">
      <alignment horizontal="center" vertical="center"/>
      <protection locked="0"/>
    </xf>
    <xf numFmtId="0" fontId="1" fillId="3" borderId="61" xfId="0" applyFont="1" applyFill="1" applyBorder="1" applyAlignment="1">
      <alignment vertical="center"/>
    </xf>
    <xf numFmtId="0" fontId="1" fillId="0" borderId="61" xfId="0" applyFont="1" applyBorder="1" applyAlignment="1">
      <alignment vertical="center"/>
    </xf>
    <xf numFmtId="0" fontId="1" fillId="0" borderId="61" xfId="0" applyFont="1" applyBorder="1" applyAlignment="1" applyProtection="1">
      <alignment horizontal="justify" vertical="center"/>
      <protection locked="0"/>
    </xf>
    <xf numFmtId="164" fontId="1" fillId="9" borderId="61" xfId="1" applyNumberFormat="1" applyFont="1" applyFill="1" applyBorder="1" applyAlignment="1">
      <alignment horizontal="center" vertical="center"/>
    </xf>
    <xf numFmtId="0" fontId="1" fillId="0" borderId="61" xfId="0" applyFont="1" applyBorder="1" applyAlignment="1">
      <alignment horizontal="center" vertical="center"/>
    </xf>
    <xf numFmtId="0" fontId="1" fillId="0" borderId="61" xfId="0" applyFont="1" applyBorder="1" applyAlignment="1">
      <alignment horizontal="center"/>
    </xf>
    <xf numFmtId="0" fontId="4" fillId="14" borderId="61" xfId="0" applyFont="1" applyFill="1" applyBorder="1" applyAlignment="1">
      <alignment horizontal="center" vertical="center" textRotation="90"/>
    </xf>
    <xf numFmtId="0" fontId="1" fillId="0" borderId="62" xfId="0" applyFont="1" applyBorder="1" applyAlignment="1">
      <alignment horizontal="center" vertical="center"/>
    </xf>
    <xf numFmtId="0" fontId="1" fillId="0" borderId="62" xfId="0" applyFont="1" applyBorder="1"/>
    <xf numFmtId="0" fontId="1" fillId="0" borderId="62" xfId="0" applyFont="1" applyBorder="1" applyAlignment="1">
      <alignment horizontal="center"/>
    </xf>
    <xf numFmtId="0" fontId="1" fillId="0" borderId="63" xfId="0" applyFont="1" applyBorder="1" applyAlignment="1">
      <alignment horizontal="center" vertical="center"/>
    </xf>
    <xf numFmtId="0" fontId="1" fillId="0" borderId="63" xfId="0" applyFont="1" applyBorder="1"/>
    <xf numFmtId="0" fontId="1" fillId="0" borderId="63" xfId="0" applyFont="1" applyBorder="1" applyAlignment="1">
      <alignment horizontal="center"/>
    </xf>
    <xf numFmtId="0" fontId="36" fillId="14" borderId="31" xfId="0" applyFont="1" applyFill="1" applyBorder="1" applyAlignment="1">
      <alignment horizontal="center" vertical="center" wrapText="1" readingOrder="1"/>
    </xf>
    <xf numFmtId="0" fontId="36" fillId="14" borderId="32" xfId="0" applyFont="1" applyFill="1" applyBorder="1" applyAlignment="1">
      <alignment horizontal="center" vertical="center" wrapText="1" readingOrder="1"/>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Continuous"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60" fillId="3" borderId="0" xfId="2" applyFont="1" applyFill="1" applyBorder="1" applyProtection="1"/>
    <xf numFmtId="0" fontId="60" fillId="3" borderId="0" xfId="2" applyFont="1" applyFill="1" applyBorder="1" applyAlignment="1" applyProtection="1">
      <alignment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left" vertical="center" wrapText="1"/>
      <protection locked="0"/>
    </xf>
    <xf numFmtId="0" fontId="1" fillId="3" borderId="65" xfId="0" applyFont="1" applyFill="1" applyBorder="1"/>
    <xf numFmtId="0" fontId="1" fillId="0" borderId="61" xfId="0" applyFont="1" applyBorder="1" applyAlignment="1" applyProtection="1">
      <alignment horizontal="left" vertical="center" wrapText="1"/>
      <protection locked="0"/>
    </xf>
    <xf numFmtId="0" fontId="54" fillId="3" borderId="50" xfId="2" applyFont="1" applyFill="1" applyBorder="1" applyAlignment="1" applyProtection="1">
      <alignment horizontal="left" vertical="center" wrapText="1"/>
    </xf>
    <xf numFmtId="0" fontId="54" fillId="3" borderId="51" xfId="2" applyFont="1" applyFill="1" applyBorder="1" applyAlignment="1" applyProtection="1">
      <alignment horizontal="left" vertical="center" wrapText="1"/>
    </xf>
    <xf numFmtId="0" fontId="53" fillId="3" borderId="48" xfId="0" applyFont="1" applyFill="1" applyBorder="1" applyAlignment="1" applyProtection="1">
      <alignment horizontal="left" vertical="center" wrapText="1"/>
    </xf>
    <xf numFmtId="0" fontId="53" fillId="3" borderId="49" xfId="0" applyFont="1" applyFill="1" applyBorder="1" applyAlignment="1" applyProtection="1">
      <alignment horizontal="left" vertical="center" wrapText="1"/>
    </xf>
    <xf numFmtId="0" fontId="54" fillId="3" borderId="50" xfId="2" applyFont="1" applyFill="1" applyBorder="1" applyAlignment="1" applyProtection="1">
      <alignment horizontal="justify" vertical="center" wrapText="1"/>
    </xf>
    <xf numFmtId="0" fontId="54" fillId="3" borderId="51" xfId="2" applyFont="1" applyFill="1" applyBorder="1" applyAlignment="1" applyProtection="1">
      <alignment horizontal="justify" vertical="center" wrapText="1"/>
    </xf>
    <xf numFmtId="0" fontId="49" fillId="14" borderId="34" xfId="2" applyFont="1" applyFill="1" applyBorder="1" applyAlignment="1" applyProtection="1">
      <alignment horizontal="center" vertical="center" wrapText="1"/>
    </xf>
    <xf numFmtId="0" fontId="49" fillId="14" borderId="35" xfId="2" applyFont="1" applyFill="1" applyBorder="1" applyAlignment="1" applyProtection="1">
      <alignment horizontal="center" vertical="center" wrapText="1"/>
    </xf>
    <xf numFmtId="0" fontId="49" fillId="14" borderId="36" xfId="2" applyFont="1" applyFill="1" applyBorder="1" applyAlignment="1" applyProtection="1">
      <alignment horizontal="center" vertical="center" wrapText="1"/>
    </xf>
    <xf numFmtId="0" fontId="48" fillId="0" borderId="5"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6" xfId="2" quotePrefix="1" applyFont="1" applyBorder="1" applyAlignment="1" applyProtection="1">
      <alignment horizontal="left" vertical="center" wrapText="1"/>
    </xf>
    <xf numFmtId="0" fontId="48" fillId="0" borderId="54" xfId="2" quotePrefix="1" applyFont="1" applyBorder="1" applyAlignment="1" applyProtection="1">
      <alignment horizontal="left" vertical="center" wrapText="1"/>
    </xf>
    <xf numFmtId="0" fontId="48" fillId="0" borderId="55"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50" fillId="3" borderId="37" xfId="2" quotePrefix="1" applyFont="1" applyFill="1" applyBorder="1" applyAlignment="1" applyProtection="1">
      <alignment horizontal="left" vertical="top" wrapText="1"/>
    </xf>
    <xf numFmtId="0" fontId="51" fillId="3" borderId="38" xfId="2" quotePrefix="1" applyFont="1" applyFill="1" applyBorder="1" applyAlignment="1" applyProtection="1">
      <alignment horizontal="left" vertical="top" wrapText="1"/>
    </xf>
    <xf numFmtId="0" fontId="51" fillId="3" borderId="39" xfId="2" quotePrefix="1" applyFont="1" applyFill="1" applyBorder="1" applyAlignment="1" applyProtection="1">
      <alignment horizontal="left" vertical="top" wrapText="1"/>
    </xf>
    <xf numFmtId="0" fontId="48" fillId="0" borderId="5"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6" xfId="2" quotePrefix="1" applyFont="1" applyBorder="1" applyAlignment="1" applyProtection="1">
      <alignment horizontal="left" vertical="top" wrapText="1"/>
    </xf>
    <xf numFmtId="0" fontId="53" fillId="14" borderId="40" xfId="3" applyFont="1" applyFill="1" applyBorder="1" applyAlignment="1" applyProtection="1">
      <alignment horizontal="center" vertical="center" wrapText="1"/>
    </xf>
    <xf numFmtId="0" fontId="53" fillId="14" borderId="41" xfId="3" applyFont="1" applyFill="1" applyBorder="1" applyAlignment="1" applyProtection="1">
      <alignment horizontal="center" vertical="center" wrapText="1"/>
    </xf>
    <xf numFmtId="0" fontId="53" fillId="14" borderId="42" xfId="2" applyFont="1" applyFill="1" applyBorder="1" applyAlignment="1" applyProtection="1">
      <alignment horizontal="center" vertical="center"/>
    </xf>
    <xf numFmtId="0" fontId="53"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0" fontId="53" fillId="3" borderId="44" xfId="3" applyFont="1" applyFill="1" applyBorder="1" applyAlignment="1" applyProtection="1">
      <alignment horizontal="left" vertical="top" wrapText="1" readingOrder="1"/>
    </xf>
    <xf numFmtId="0" fontId="53" fillId="3" borderId="45" xfId="3" applyFont="1" applyFill="1" applyBorder="1" applyAlignment="1" applyProtection="1">
      <alignment horizontal="left" vertical="top" wrapText="1" readingOrder="1"/>
    </xf>
    <xf numFmtId="0" fontId="54" fillId="3" borderId="46" xfId="2" applyFont="1" applyFill="1" applyBorder="1" applyAlignment="1" applyProtection="1">
      <alignment horizontal="justify" vertical="center" wrapText="1"/>
    </xf>
    <xf numFmtId="0" fontId="54" fillId="3" borderId="47" xfId="2" applyFont="1" applyFill="1" applyBorder="1" applyAlignment="1" applyProtection="1">
      <alignment horizontal="justify"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3" fillId="3" borderId="57" xfId="3" applyFont="1" applyFill="1" applyBorder="1" applyAlignment="1" applyProtection="1">
      <alignment horizontal="left" vertical="center" wrapText="1" readingOrder="1"/>
    </xf>
    <xf numFmtId="0" fontId="53" fillId="3" borderId="58" xfId="3" applyFont="1" applyFill="1" applyBorder="1" applyAlignment="1" applyProtection="1">
      <alignment horizontal="left" vertical="center" wrapText="1" readingOrder="1"/>
    </xf>
    <xf numFmtId="0" fontId="53" fillId="3" borderId="57" xfId="0" applyFont="1" applyFill="1" applyBorder="1" applyAlignment="1" applyProtection="1">
      <alignment horizontal="left" vertical="center" wrapText="1"/>
    </xf>
    <xf numFmtId="0" fontId="53" fillId="3" borderId="58" xfId="0" applyFont="1" applyFill="1" applyBorder="1" applyAlignment="1" applyProtection="1">
      <alignment horizontal="left" vertical="center" wrapText="1"/>
    </xf>
    <xf numFmtId="0" fontId="48" fillId="3" borderId="5"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6" xfId="2" applyFont="1" applyFill="1" applyBorder="1" applyAlignment="1" applyProtection="1">
      <alignment horizontal="left" vertical="top"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4" fillId="3" borderId="52" xfId="0" applyFont="1" applyFill="1" applyBorder="1" applyAlignment="1" applyProtection="1">
      <alignment horizontal="justify" vertical="center" wrapText="1"/>
    </xf>
    <xf numFmtId="0" fontId="54" fillId="3" borderId="53" xfId="0" applyFont="1" applyFill="1" applyBorder="1" applyAlignment="1" applyProtection="1">
      <alignment horizontal="justify" vertical="center" wrapText="1"/>
    </xf>
    <xf numFmtId="0" fontId="4" fillId="14" borderId="62" xfId="0" applyFont="1" applyFill="1" applyBorder="1" applyAlignment="1">
      <alignment horizontal="center" vertical="center" wrapText="1"/>
    </xf>
    <xf numFmtId="0" fontId="4" fillId="14" borderId="63" xfId="0" applyFont="1" applyFill="1" applyBorder="1" applyAlignment="1">
      <alignment horizontal="center" vertical="center" wrapText="1"/>
    </xf>
    <xf numFmtId="0" fontId="2" fillId="0" borderId="6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1" fillId="0" borderId="61" xfId="0" applyFont="1" applyBorder="1" applyAlignment="1">
      <alignment horizontal="left" vertical="center" wrapText="1"/>
    </xf>
    <xf numFmtId="9" fontId="1" fillId="0" borderId="61" xfId="0" applyNumberFormat="1" applyFont="1" applyBorder="1" applyAlignment="1" applyProtection="1">
      <alignment horizontal="center" vertical="center" wrapText="1"/>
      <protection locked="0"/>
    </xf>
    <xf numFmtId="9" fontId="1" fillId="0" borderId="61" xfId="0" applyNumberFormat="1" applyFont="1" applyBorder="1" applyAlignment="1" applyProtection="1">
      <alignment horizontal="center" vertical="center" wrapText="1"/>
      <protection hidden="1"/>
    </xf>
    <xf numFmtId="0" fontId="4" fillId="0" borderId="61" xfId="0" applyFont="1" applyFill="1" applyBorder="1" applyAlignment="1" applyProtection="1">
      <alignment horizontal="center" vertical="center" wrapText="1"/>
      <protection hidden="1"/>
    </xf>
    <xf numFmtId="0" fontId="4"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horizontal="left" vertical="center" wrapText="1"/>
      <protection locked="0"/>
    </xf>
    <xf numFmtId="0" fontId="1" fillId="0" borderId="62" xfId="0" applyFont="1" applyBorder="1" applyAlignment="1" applyProtection="1">
      <alignment horizontal="center" vertical="center" wrapText="1"/>
    </xf>
    <xf numFmtId="0" fontId="1" fillId="0" borderId="64"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4" fillId="14" borderId="61" xfId="0" applyFont="1" applyFill="1" applyBorder="1" applyAlignment="1">
      <alignment horizontal="center" vertical="center" textRotation="90" wrapText="1"/>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 vertical="center"/>
    </xf>
    <xf numFmtId="0" fontId="58" fillId="14" borderId="61" xfId="0" applyFont="1" applyFill="1" applyBorder="1" applyAlignment="1">
      <alignment horizontal="center" vertical="center"/>
    </xf>
    <xf numFmtId="0" fontId="1" fillId="0" borderId="62" xfId="0" applyFont="1" applyBorder="1" applyAlignment="1" applyProtection="1">
      <alignment horizontal="center" vertical="center"/>
    </xf>
    <xf numFmtId="0" fontId="1" fillId="0" borderId="64" xfId="0" applyFont="1" applyBorder="1" applyAlignment="1" applyProtection="1">
      <alignment horizontal="center" vertical="center"/>
    </xf>
    <xf numFmtId="0" fontId="1" fillId="0" borderId="63" xfId="0" applyFont="1" applyBorder="1" applyAlignment="1" applyProtection="1">
      <alignment horizontal="center" vertical="center"/>
    </xf>
    <xf numFmtId="0" fontId="52" fillId="14" borderId="66" xfId="0" applyFont="1" applyFill="1" applyBorder="1" applyAlignment="1">
      <alignment horizontal="left" vertical="center" wrapText="1"/>
    </xf>
    <xf numFmtId="0" fontId="52" fillId="14" borderId="67" xfId="0" applyFont="1" applyFill="1" applyBorder="1" applyAlignment="1">
      <alignment horizontal="left" vertical="center" wrapText="1"/>
    </xf>
    <xf numFmtId="0" fontId="52" fillId="14" borderId="68" xfId="0" applyFont="1" applyFill="1" applyBorder="1" applyAlignment="1">
      <alignment horizontal="left" vertical="center" wrapText="1"/>
    </xf>
    <xf numFmtId="0" fontId="2" fillId="0" borderId="62" xfId="0" applyFont="1" applyBorder="1" applyAlignment="1" applyProtection="1">
      <alignment horizontal="center" vertical="center" wrapText="1"/>
      <protection locked="0"/>
    </xf>
    <xf numFmtId="0" fontId="2" fillId="0" borderId="64" xfId="0" applyFont="1" applyBorder="1" applyAlignment="1" applyProtection="1">
      <alignment horizontal="center" vertical="center" wrapText="1"/>
      <protection locked="0"/>
    </xf>
    <xf numFmtId="0" fontId="2" fillId="0" borderId="63" xfId="0" applyFont="1" applyBorder="1" applyAlignment="1" applyProtection="1">
      <alignment horizontal="center" vertical="center" wrapText="1"/>
      <protection locked="0"/>
    </xf>
    <xf numFmtId="0" fontId="24" fillId="0" borderId="0" xfId="0" applyFont="1" applyAlignment="1">
      <alignment horizontal="center" vertical="center" wrapText="1"/>
    </xf>
    <xf numFmtId="0" fontId="19" fillId="5" borderId="5"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42" fillId="0" borderId="3" xfId="0" applyFont="1" applyBorder="1" applyAlignment="1">
      <alignment horizontal="center" vertical="center" wrapText="1"/>
    </xf>
    <xf numFmtId="0" fontId="42" fillId="0" borderId="10"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wrapText="1"/>
    </xf>
    <xf numFmtId="0" fontId="41" fillId="11" borderId="11"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0" xfId="0" applyFont="1" applyBorder="1" applyAlignment="1">
      <alignment horizontal="center" vertical="center"/>
    </xf>
    <xf numFmtId="0" fontId="41" fillId="12" borderId="11" xfId="0" applyFont="1" applyFill="1" applyBorder="1" applyAlignment="1">
      <alignment horizontal="center" vertical="center" wrapText="1" readingOrder="1"/>
    </xf>
    <xf numFmtId="0" fontId="41" fillId="12" borderId="12" xfId="0" applyFont="1" applyFill="1" applyBorder="1" applyAlignment="1">
      <alignment horizontal="center" vertical="center" wrapText="1" readingOrder="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0" fillId="0" borderId="0" xfId="0" applyFont="1" applyAlignment="1">
      <alignment horizontal="center" vertical="center" wrapText="1"/>
    </xf>
    <xf numFmtId="0" fontId="21" fillId="0" borderId="0" xfId="0" applyFont="1" applyAlignment="1">
      <alignment horizontal="center" vertical="center" wrapText="1"/>
    </xf>
    <xf numFmtId="0" fontId="41" fillId="5" borderId="11" xfId="0" applyFont="1" applyFill="1" applyBorder="1" applyAlignment="1">
      <alignment horizontal="center" vertical="center" wrapText="1" readingOrder="1"/>
    </xf>
    <xf numFmtId="0" fontId="41" fillId="5" borderId="12" xfId="0" applyFont="1" applyFill="1" applyBorder="1" applyAlignment="1">
      <alignment horizontal="center" vertical="center" wrapText="1" readingOrder="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13" borderId="11" xfId="0" applyFont="1" applyFill="1" applyBorder="1" applyAlignment="1">
      <alignment horizontal="center" vertical="center" wrapText="1" readingOrder="1"/>
    </xf>
    <xf numFmtId="0" fontId="41" fillId="13" borderId="12"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23" fillId="0" borderId="0" xfId="0" applyFont="1" applyAlignment="1">
      <alignment horizontal="center" vertical="center"/>
    </xf>
    <xf numFmtId="0" fontId="44" fillId="0" borderId="0" xfId="0" applyFont="1" applyAlignment="1">
      <alignment horizontal="center" vertical="center"/>
    </xf>
    <xf numFmtId="0" fontId="39" fillId="14" borderId="21" xfId="0" applyFont="1" applyFill="1" applyBorder="1" applyAlignment="1">
      <alignment horizontal="center" vertical="center" wrapText="1" readingOrder="1"/>
    </xf>
    <xf numFmtId="0" fontId="39" fillId="14" borderId="22" xfId="0" applyFont="1" applyFill="1" applyBorder="1" applyAlignment="1">
      <alignment horizontal="center" vertical="center" wrapText="1" readingOrder="1"/>
    </xf>
    <xf numFmtId="0" fontId="39" fillId="14" borderId="33"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4" borderId="30" xfId="0" applyFont="1" applyFill="1" applyBorder="1" applyAlignment="1">
      <alignment horizontal="center" vertical="center" wrapText="1" readingOrder="1"/>
    </xf>
    <xf numFmtId="0" fontId="36" fillId="14" borderId="3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6" fillId="3" borderId="23" xfId="0" applyFont="1" applyFill="1" applyBorder="1" applyAlignment="1">
      <alignment horizontal="center" vertical="center" wrapText="1" readingOrder="1"/>
    </xf>
    <xf numFmtId="0" fontId="36" fillId="3" borderId="20" xfId="0"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47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44"/>
  <sheetViews>
    <sheetView topLeftCell="A31" zoomScale="98" zoomScaleNormal="98" workbookViewId="0">
      <selection activeCell="E22" sqref="E22:F22"/>
    </sheetView>
  </sheetViews>
  <sheetFormatPr baseColWidth="10" defaultColWidth="11.42578125" defaultRowHeight="15" x14ac:dyDescent="0.25"/>
  <cols>
    <col min="1" max="1" width="2.85546875" style="70" customWidth="1"/>
    <col min="2" max="2" width="32.5703125" style="70" customWidth="1"/>
    <col min="3" max="3" width="28.42578125" style="70" customWidth="1"/>
    <col min="4" max="4" width="19.7109375" style="70" customWidth="1"/>
    <col min="5" max="5" width="31.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59" t="s">
        <v>158</v>
      </c>
      <c r="C2" s="160"/>
      <c r="D2" s="160"/>
      <c r="E2" s="160"/>
      <c r="F2" s="160"/>
      <c r="G2" s="160"/>
      <c r="H2" s="161"/>
    </row>
    <row r="3" spans="2:8" x14ac:dyDescent="0.25">
      <c r="B3" s="71"/>
      <c r="C3" s="72"/>
      <c r="D3" s="72"/>
      <c r="E3" s="72"/>
      <c r="F3" s="72"/>
      <c r="G3" s="72"/>
      <c r="H3" s="73"/>
    </row>
    <row r="4" spans="2:8" ht="63" customHeight="1" x14ac:dyDescent="0.25">
      <c r="B4" s="162" t="s">
        <v>185</v>
      </c>
      <c r="C4" s="163"/>
      <c r="D4" s="163"/>
      <c r="E4" s="163"/>
      <c r="F4" s="163"/>
      <c r="G4" s="163"/>
      <c r="H4" s="164"/>
    </row>
    <row r="5" spans="2:8" ht="63" customHeight="1" x14ac:dyDescent="0.25">
      <c r="B5" s="165"/>
      <c r="C5" s="166"/>
      <c r="D5" s="166"/>
      <c r="E5" s="166"/>
      <c r="F5" s="166"/>
      <c r="G5" s="166"/>
      <c r="H5" s="167"/>
    </row>
    <row r="6" spans="2:8" ht="16.5" x14ac:dyDescent="0.25">
      <c r="B6" s="168" t="s">
        <v>156</v>
      </c>
      <c r="C6" s="169"/>
      <c r="D6" s="169"/>
      <c r="E6" s="169"/>
      <c r="F6" s="169"/>
      <c r="G6" s="169"/>
      <c r="H6" s="170"/>
    </row>
    <row r="7" spans="2:8" ht="95.25" customHeight="1" x14ac:dyDescent="0.25">
      <c r="B7" s="178" t="s">
        <v>186</v>
      </c>
      <c r="C7" s="179"/>
      <c r="D7" s="179"/>
      <c r="E7" s="179"/>
      <c r="F7" s="179"/>
      <c r="G7" s="179"/>
      <c r="H7" s="180"/>
    </row>
    <row r="8" spans="2:8" ht="16.5" x14ac:dyDescent="0.25">
      <c r="B8" s="106"/>
      <c r="C8" s="107"/>
      <c r="D8" s="107"/>
      <c r="E8" s="107"/>
      <c r="F8" s="107"/>
      <c r="G8" s="107"/>
      <c r="H8" s="108"/>
    </row>
    <row r="9" spans="2:8" ht="16.5" customHeight="1" x14ac:dyDescent="0.25">
      <c r="B9" s="171" t="s">
        <v>178</v>
      </c>
      <c r="C9" s="172"/>
      <c r="D9" s="172"/>
      <c r="E9" s="172"/>
      <c r="F9" s="172"/>
      <c r="G9" s="172"/>
      <c r="H9" s="173"/>
    </row>
    <row r="10" spans="2:8" ht="44.25" customHeight="1" x14ac:dyDescent="0.25">
      <c r="B10" s="171"/>
      <c r="C10" s="172"/>
      <c r="D10" s="172"/>
      <c r="E10" s="172"/>
      <c r="F10" s="172"/>
      <c r="G10" s="172"/>
      <c r="H10" s="173"/>
    </row>
    <row r="11" spans="2:8" ht="15.75" thickBot="1" x14ac:dyDescent="0.3">
      <c r="B11" s="94"/>
      <c r="C11" s="97"/>
      <c r="D11" s="102"/>
      <c r="E11" s="103"/>
      <c r="F11" s="103"/>
      <c r="G11" s="104"/>
      <c r="H11" s="105"/>
    </row>
    <row r="12" spans="2:8" ht="15.75" thickTop="1" x14ac:dyDescent="0.25">
      <c r="B12" s="94"/>
      <c r="C12" s="174" t="s">
        <v>157</v>
      </c>
      <c r="D12" s="175"/>
      <c r="E12" s="176" t="s">
        <v>179</v>
      </c>
      <c r="F12" s="177"/>
      <c r="G12" s="97"/>
      <c r="H12" s="98"/>
    </row>
    <row r="13" spans="2:8" ht="81.599999999999994" customHeight="1" x14ac:dyDescent="0.25">
      <c r="B13" s="94"/>
      <c r="C13" s="181" t="s">
        <v>159</v>
      </c>
      <c r="D13" s="182"/>
      <c r="E13" s="183" t="s">
        <v>195</v>
      </c>
      <c r="F13" s="184"/>
      <c r="G13" s="97"/>
      <c r="H13" s="98"/>
    </row>
    <row r="14" spans="2:8" x14ac:dyDescent="0.25">
      <c r="B14" s="94"/>
      <c r="C14" s="187" t="s">
        <v>189</v>
      </c>
      <c r="D14" s="188"/>
      <c r="E14" s="153" t="s">
        <v>196</v>
      </c>
      <c r="F14" s="154"/>
      <c r="G14" s="97"/>
      <c r="H14" s="98"/>
    </row>
    <row r="15" spans="2:8" ht="32.25" customHeight="1" x14ac:dyDescent="0.25">
      <c r="B15" s="94"/>
      <c r="C15" s="185" t="s">
        <v>190</v>
      </c>
      <c r="D15" s="186"/>
      <c r="E15" s="153" t="s">
        <v>202</v>
      </c>
      <c r="F15" s="154"/>
      <c r="G15" s="97"/>
      <c r="H15" s="98"/>
    </row>
    <row r="16" spans="2:8" ht="28.5" customHeight="1" x14ac:dyDescent="0.25">
      <c r="B16" s="94"/>
      <c r="C16" s="155" t="s">
        <v>192</v>
      </c>
      <c r="D16" s="156"/>
      <c r="E16" s="157" t="s">
        <v>193</v>
      </c>
      <c r="F16" s="158"/>
      <c r="G16" s="97"/>
      <c r="H16" s="98"/>
    </row>
    <row r="17" spans="2:8" ht="32.25" customHeight="1" x14ac:dyDescent="0.25">
      <c r="B17" s="94"/>
      <c r="C17" s="145" t="s">
        <v>198</v>
      </c>
      <c r="D17" s="146"/>
      <c r="E17" s="153" t="s">
        <v>199</v>
      </c>
      <c r="F17" s="154"/>
      <c r="G17" s="97"/>
      <c r="H17" s="98"/>
    </row>
    <row r="18" spans="2:8" ht="72.75" customHeight="1" x14ac:dyDescent="0.25">
      <c r="B18" s="94"/>
      <c r="C18" s="155" t="s">
        <v>1</v>
      </c>
      <c r="D18" s="156"/>
      <c r="E18" s="157" t="s">
        <v>187</v>
      </c>
      <c r="F18" s="158"/>
      <c r="G18" s="97"/>
      <c r="H18" s="98"/>
    </row>
    <row r="19" spans="2:8" ht="64.5" customHeight="1" x14ac:dyDescent="0.25">
      <c r="B19" s="94"/>
      <c r="C19" s="155" t="s">
        <v>46</v>
      </c>
      <c r="D19" s="156"/>
      <c r="E19" s="157" t="s">
        <v>191</v>
      </c>
      <c r="F19" s="158"/>
      <c r="G19" s="147"/>
      <c r="H19" s="98"/>
    </row>
    <row r="20" spans="2:8" ht="62.25" customHeight="1" x14ac:dyDescent="0.25">
      <c r="B20" s="94"/>
      <c r="C20" s="155" t="s">
        <v>200</v>
      </c>
      <c r="D20" s="156"/>
      <c r="E20" s="157" t="s">
        <v>194</v>
      </c>
      <c r="F20" s="158"/>
      <c r="G20" s="147"/>
      <c r="H20" s="98"/>
    </row>
    <row r="21" spans="2:8" ht="71.25" customHeight="1" x14ac:dyDescent="0.25">
      <c r="B21" s="94"/>
      <c r="C21" s="155" t="s">
        <v>160</v>
      </c>
      <c r="D21" s="156"/>
      <c r="E21" s="157" t="s">
        <v>203</v>
      </c>
      <c r="F21" s="158"/>
      <c r="G21" s="147"/>
      <c r="H21" s="98"/>
    </row>
    <row r="22" spans="2:8" ht="55.5" customHeight="1" x14ac:dyDescent="0.25">
      <c r="B22" s="94"/>
      <c r="C22" s="189" t="s">
        <v>161</v>
      </c>
      <c r="D22" s="190"/>
      <c r="E22" s="157" t="s">
        <v>204</v>
      </c>
      <c r="F22" s="158"/>
      <c r="G22" s="148"/>
      <c r="H22" s="98"/>
    </row>
    <row r="23" spans="2:8" ht="42" customHeight="1" x14ac:dyDescent="0.25">
      <c r="B23" s="94"/>
      <c r="C23" s="189" t="s">
        <v>44</v>
      </c>
      <c r="D23" s="190"/>
      <c r="E23" s="157" t="s">
        <v>205</v>
      </c>
      <c r="F23" s="158"/>
      <c r="G23" s="97"/>
      <c r="H23" s="98"/>
    </row>
    <row r="24" spans="2:8" ht="59.25" customHeight="1" x14ac:dyDescent="0.25">
      <c r="B24" s="94"/>
      <c r="C24" s="189" t="s">
        <v>155</v>
      </c>
      <c r="D24" s="190"/>
      <c r="E24" s="157" t="s">
        <v>188</v>
      </c>
      <c r="F24" s="158"/>
      <c r="G24" s="97"/>
      <c r="H24" s="98"/>
    </row>
    <row r="25" spans="2:8" ht="23.25" customHeight="1" x14ac:dyDescent="0.25">
      <c r="B25" s="94"/>
      <c r="C25" s="189" t="s">
        <v>11</v>
      </c>
      <c r="D25" s="190"/>
      <c r="E25" s="157" t="s">
        <v>206</v>
      </c>
      <c r="F25" s="158"/>
      <c r="G25" s="97"/>
      <c r="H25" s="98"/>
    </row>
    <row r="26" spans="2:8" ht="30.75" customHeight="1" x14ac:dyDescent="0.25">
      <c r="B26" s="94"/>
      <c r="C26" s="189" t="s">
        <v>164</v>
      </c>
      <c r="D26" s="190"/>
      <c r="E26" s="157" t="s">
        <v>162</v>
      </c>
      <c r="F26" s="158"/>
      <c r="G26" s="97"/>
      <c r="H26" s="98"/>
    </row>
    <row r="27" spans="2:8" ht="35.25" customHeight="1" x14ac:dyDescent="0.25">
      <c r="B27" s="94"/>
      <c r="C27" s="189" t="s">
        <v>165</v>
      </c>
      <c r="D27" s="190"/>
      <c r="E27" s="157" t="s">
        <v>163</v>
      </c>
      <c r="F27" s="158"/>
      <c r="G27" s="97"/>
      <c r="H27" s="98"/>
    </row>
    <row r="28" spans="2:8" ht="33" customHeight="1" x14ac:dyDescent="0.25">
      <c r="B28" s="94"/>
      <c r="C28" s="189" t="s">
        <v>165</v>
      </c>
      <c r="D28" s="190"/>
      <c r="E28" s="157" t="s">
        <v>163</v>
      </c>
      <c r="F28" s="158"/>
      <c r="G28" s="97"/>
      <c r="H28" s="98"/>
    </row>
    <row r="29" spans="2:8" ht="30" customHeight="1" x14ac:dyDescent="0.25">
      <c r="B29" s="94"/>
      <c r="C29" s="189" t="s">
        <v>166</v>
      </c>
      <c r="D29" s="190"/>
      <c r="E29" s="157" t="s">
        <v>207</v>
      </c>
      <c r="F29" s="158"/>
      <c r="G29" s="97"/>
      <c r="H29" s="98"/>
    </row>
    <row r="30" spans="2:8" ht="35.25" customHeight="1" x14ac:dyDescent="0.25">
      <c r="B30" s="94"/>
      <c r="C30" s="189" t="s">
        <v>167</v>
      </c>
      <c r="D30" s="190"/>
      <c r="E30" s="157" t="s">
        <v>168</v>
      </c>
      <c r="F30" s="158"/>
      <c r="G30" s="97"/>
      <c r="H30" s="98"/>
    </row>
    <row r="31" spans="2:8" ht="31.5" customHeight="1" x14ac:dyDescent="0.25">
      <c r="B31" s="94"/>
      <c r="C31" s="189" t="s">
        <v>169</v>
      </c>
      <c r="D31" s="190"/>
      <c r="E31" s="157" t="s">
        <v>170</v>
      </c>
      <c r="F31" s="158"/>
      <c r="G31" s="97"/>
      <c r="H31" s="98"/>
    </row>
    <row r="32" spans="2:8" ht="35.25" customHeight="1" x14ac:dyDescent="0.25">
      <c r="B32" s="94"/>
      <c r="C32" s="189" t="s">
        <v>171</v>
      </c>
      <c r="D32" s="190"/>
      <c r="E32" s="157" t="s">
        <v>172</v>
      </c>
      <c r="F32" s="158"/>
      <c r="G32" s="97"/>
      <c r="H32" s="98"/>
    </row>
    <row r="33" spans="2:8" ht="59.25" customHeight="1" x14ac:dyDescent="0.25">
      <c r="B33" s="94"/>
      <c r="C33" s="189" t="s">
        <v>173</v>
      </c>
      <c r="D33" s="190"/>
      <c r="E33" s="157" t="s">
        <v>208</v>
      </c>
      <c r="F33" s="158"/>
      <c r="G33" s="97"/>
      <c r="H33" s="98"/>
    </row>
    <row r="34" spans="2:8" ht="41.45" customHeight="1" x14ac:dyDescent="0.25">
      <c r="B34" s="94"/>
      <c r="C34" s="189" t="s">
        <v>28</v>
      </c>
      <c r="D34" s="190"/>
      <c r="E34" s="157" t="s">
        <v>174</v>
      </c>
      <c r="F34" s="158"/>
      <c r="G34" s="97"/>
      <c r="H34" s="98"/>
    </row>
    <row r="35" spans="2:8" ht="96.6" customHeight="1" x14ac:dyDescent="0.25">
      <c r="B35" s="94"/>
      <c r="C35" s="189" t="s">
        <v>176</v>
      </c>
      <c r="D35" s="190"/>
      <c r="E35" s="157" t="s">
        <v>175</v>
      </c>
      <c r="F35" s="158"/>
      <c r="G35" s="97"/>
      <c r="H35" s="98"/>
    </row>
    <row r="36" spans="2:8" ht="52.15" customHeight="1" x14ac:dyDescent="0.25">
      <c r="B36" s="94"/>
      <c r="C36" s="189" t="s">
        <v>38</v>
      </c>
      <c r="D36" s="190"/>
      <c r="E36" s="157" t="s">
        <v>177</v>
      </c>
      <c r="F36" s="158"/>
      <c r="G36" s="97"/>
      <c r="H36" s="98"/>
    </row>
    <row r="37" spans="2:8" ht="12" customHeight="1" thickBot="1" x14ac:dyDescent="0.3">
      <c r="B37" s="94"/>
      <c r="C37" s="194"/>
      <c r="D37" s="195"/>
      <c r="E37" s="196"/>
      <c r="F37" s="197"/>
      <c r="G37" s="97"/>
      <c r="H37" s="98"/>
    </row>
    <row r="38" spans="2:8" ht="15.75" thickTop="1" x14ac:dyDescent="0.25">
      <c r="B38" s="94"/>
      <c r="C38" s="95"/>
      <c r="D38" s="95"/>
      <c r="E38" s="96"/>
      <c r="F38" s="96"/>
      <c r="G38" s="97"/>
      <c r="H38" s="98"/>
    </row>
    <row r="39" spans="2:8" ht="21" customHeight="1" x14ac:dyDescent="0.25">
      <c r="B39" s="191" t="s">
        <v>180</v>
      </c>
      <c r="C39" s="192"/>
      <c r="D39" s="192"/>
      <c r="E39" s="192"/>
      <c r="F39" s="192"/>
      <c r="G39" s="192"/>
      <c r="H39" s="193"/>
    </row>
    <row r="40" spans="2:8" ht="20.25" customHeight="1" x14ac:dyDescent="0.25">
      <c r="B40" s="191" t="s">
        <v>181</v>
      </c>
      <c r="C40" s="192"/>
      <c r="D40" s="192"/>
      <c r="E40" s="192"/>
      <c r="F40" s="192"/>
      <c r="G40" s="192"/>
      <c r="H40" s="193"/>
    </row>
    <row r="41" spans="2:8" ht="20.25" customHeight="1" x14ac:dyDescent="0.25">
      <c r="B41" s="191" t="s">
        <v>182</v>
      </c>
      <c r="C41" s="192"/>
      <c r="D41" s="192"/>
      <c r="E41" s="192"/>
      <c r="F41" s="192"/>
      <c r="G41" s="192"/>
      <c r="H41" s="193"/>
    </row>
    <row r="42" spans="2:8" ht="20.25" customHeight="1" x14ac:dyDescent="0.25">
      <c r="B42" s="191" t="s">
        <v>183</v>
      </c>
      <c r="C42" s="192"/>
      <c r="D42" s="192"/>
      <c r="E42" s="192"/>
      <c r="F42" s="192"/>
      <c r="G42" s="192"/>
      <c r="H42" s="193"/>
    </row>
    <row r="43" spans="2:8" x14ac:dyDescent="0.25">
      <c r="B43" s="191" t="s">
        <v>184</v>
      </c>
      <c r="C43" s="192"/>
      <c r="D43" s="192"/>
      <c r="E43" s="192"/>
      <c r="F43" s="192"/>
      <c r="G43" s="192"/>
      <c r="H43" s="193"/>
    </row>
    <row r="44" spans="2:8" ht="15.75" thickBot="1" x14ac:dyDescent="0.3">
      <c r="B44" s="99"/>
      <c r="C44" s="100"/>
      <c r="D44" s="100"/>
      <c r="E44" s="100"/>
      <c r="F44" s="100"/>
      <c r="G44" s="100"/>
      <c r="H44" s="101"/>
    </row>
  </sheetData>
  <mergeCells count="61">
    <mergeCell ref="B43:H43"/>
    <mergeCell ref="E30:F30"/>
    <mergeCell ref="C30:D30"/>
    <mergeCell ref="C16:D16"/>
    <mergeCell ref="E16:F16"/>
    <mergeCell ref="E24:F24"/>
    <mergeCell ref="C24:D24"/>
    <mergeCell ref="C27:D27"/>
    <mergeCell ref="E27:F27"/>
    <mergeCell ref="C29:D29"/>
    <mergeCell ref="E29:F29"/>
    <mergeCell ref="C35:D35"/>
    <mergeCell ref="B42:H42"/>
    <mergeCell ref="C31:D31"/>
    <mergeCell ref="E31:F31"/>
    <mergeCell ref="C32:D32"/>
    <mergeCell ref="E32:F32"/>
    <mergeCell ref="E35:F35"/>
    <mergeCell ref="C36:D36"/>
    <mergeCell ref="C37:D37"/>
    <mergeCell ref="E37:F37"/>
    <mergeCell ref="C33:D33"/>
    <mergeCell ref="E33:F33"/>
    <mergeCell ref="B39:H39"/>
    <mergeCell ref="B40:H40"/>
    <mergeCell ref="B41:H41"/>
    <mergeCell ref="E36:F36"/>
    <mergeCell ref="C34:D34"/>
    <mergeCell ref="E34:F34"/>
    <mergeCell ref="E25:F25"/>
    <mergeCell ref="C25:D25"/>
    <mergeCell ref="C26:D26"/>
    <mergeCell ref="E26:F26"/>
    <mergeCell ref="C28:D28"/>
    <mergeCell ref="E28:F28"/>
    <mergeCell ref="C23:D23"/>
    <mergeCell ref="C19:D19"/>
    <mergeCell ref="C21:D21"/>
    <mergeCell ref="C22:D22"/>
    <mergeCell ref="E19:F19"/>
    <mergeCell ref="E21:F21"/>
    <mergeCell ref="E22:F22"/>
    <mergeCell ref="E23:F23"/>
    <mergeCell ref="C20:D20"/>
    <mergeCell ref="E20:F20"/>
    <mergeCell ref="E17:F17"/>
    <mergeCell ref="C18:D18"/>
    <mergeCell ref="E18:F18"/>
    <mergeCell ref="B2:H2"/>
    <mergeCell ref="B4:H5"/>
    <mergeCell ref="B6:H6"/>
    <mergeCell ref="B9:H10"/>
    <mergeCell ref="C12:D12"/>
    <mergeCell ref="E12:F12"/>
    <mergeCell ref="B7:H7"/>
    <mergeCell ref="C13:D13"/>
    <mergeCell ref="E13:F13"/>
    <mergeCell ref="C15:D15"/>
    <mergeCell ref="E15:F15"/>
    <mergeCell ref="C14:D14"/>
    <mergeCell ref="E14:F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R131"/>
  <sheetViews>
    <sheetView tabSelected="1" topLeftCell="U1" zoomScale="70" zoomScaleNormal="70" workbookViewId="0">
      <selection activeCell="AK10" sqref="AK10"/>
    </sheetView>
  </sheetViews>
  <sheetFormatPr baseColWidth="10" defaultColWidth="11.42578125" defaultRowHeight="16.5" x14ac:dyDescent="0.3"/>
  <cols>
    <col min="1" max="1" width="4" style="128" bestFit="1" customWidth="1"/>
    <col min="2" max="2" width="24.28515625" style="128" customWidth="1"/>
    <col min="3" max="3" width="40.85546875" style="128" customWidth="1"/>
    <col min="4" max="4" width="33.85546875" style="128" customWidth="1"/>
    <col min="5" max="5" width="53.7109375" style="110" customWidth="1"/>
    <col min="6" max="6" width="47.7109375" style="110" customWidth="1"/>
    <col min="7" max="8" width="19" style="129" customWidth="1"/>
    <col min="9" max="9" width="17.85546875" style="110" customWidth="1"/>
    <col min="10" max="10" width="16.5703125" style="110" customWidth="1"/>
    <col min="11" max="11" width="6.28515625" style="110" bestFit="1" customWidth="1"/>
    <col min="12" max="12" width="27.28515625" style="110" bestFit="1" customWidth="1"/>
    <col min="13" max="13" width="16.7109375" style="110" customWidth="1"/>
    <col min="14" max="14" width="17.5703125" style="110" customWidth="1"/>
    <col min="15" max="15" width="6.28515625" style="110" bestFit="1" customWidth="1"/>
    <col min="16" max="16" width="16" style="110" customWidth="1"/>
    <col min="17" max="17" width="5.85546875" style="110" customWidth="1"/>
    <col min="18" max="18" width="69" style="110" customWidth="1"/>
    <col min="19" max="19" width="15.140625" style="110" bestFit="1" customWidth="1"/>
    <col min="20" max="20" width="6.85546875" style="110" customWidth="1"/>
    <col min="21" max="21" width="5" style="110" customWidth="1"/>
    <col min="22" max="22" width="5.5703125" style="110" customWidth="1"/>
    <col min="23" max="23" width="7.140625" style="110" customWidth="1"/>
    <col min="24" max="24" width="6.7109375" style="110" customWidth="1"/>
    <col min="25" max="25" width="7.5703125" style="110" customWidth="1"/>
    <col min="26" max="26" width="8" style="110" customWidth="1"/>
    <col min="27" max="27" width="8.7109375" style="110" customWidth="1"/>
    <col min="28" max="28" width="10.42578125" style="110" customWidth="1"/>
    <col min="29" max="29" width="9.28515625" style="110" customWidth="1"/>
    <col min="30" max="30" width="9.140625" style="110" customWidth="1"/>
    <col min="31" max="31" width="8.42578125" style="110" customWidth="1"/>
    <col min="32" max="32" width="7.28515625" style="110" customWidth="1"/>
    <col min="33" max="33" width="48" style="110" customWidth="1"/>
    <col min="34" max="34" width="18.85546875" style="110" customWidth="1"/>
    <col min="35" max="35" width="23.5703125" style="110" customWidth="1"/>
    <col min="36" max="36" width="20.5703125" style="110" customWidth="1"/>
    <col min="37" max="37" width="45" style="110" customWidth="1"/>
    <col min="38" max="38" width="21" style="110" customWidth="1"/>
    <col min="39" max="16384" width="11.42578125" style="110"/>
  </cols>
  <sheetData>
    <row r="1" spans="1:70" ht="16.5" customHeight="1" x14ac:dyDescent="0.3">
      <c r="A1" s="220" t="s">
        <v>224</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row>
    <row r="2" spans="1:70" ht="24" customHeight="1" x14ac:dyDescent="0.3">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row>
    <row r="3" spans="1:70" ht="24" customHeight="1" x14ac:dyDescent="0.3">
      <c r="A3" s="224" t="s">
        <v>221</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6"/>
      <c r="AM3" s="151"/>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row>
    <row r="4" spans="1:70" ht="51" customHeight="1" x14ac:dyDescent="0.3">
      <c r="A4" s="224" t="s">
        <v>222</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6"/>
      <c r="AM4" s="151"/>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row>
    <row r="5" spans="1:70" ht="63.75" customHeight="1" x14ac:dyDescent="0.3">
      <c r="A5" s="224" t="s">
        <v>223</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6"/>
      <c r="AM5" s="151"/>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row>
    <row r="6" spans="1:70" x14ac:dyDescent="0.3">
      <c r="A6" s="219" t="s">
        <v>133</v>
      </c>
      <c r="B6" s="219"/>
      <c r="C6" s="219"/>
      <c r="D6" s="219"/>
      <c r="E6" s="219"/>
      <c r="F6" s="219"/>
      <c r="G6" s="219"/>
      <c r="H6" s="219"/>
      <c r="I6" s="219"/>
      <c r="J6" s="219" t="s">
        <v>134</v>
      </c>
      <c r="K6" s="219"/>
      <c r="L6" s="219"/>
      <c r="M6" s="219"/>
      <c r="N6" s="219"/>
      <c r="O6" s="219"/>
      <c r="P6" s="219"/>
      <c r="Q6" s="219" t="s">
        <v>135</v>
      </c>
      <c r="R6" s="219"/>
      <c r="S6" s="219"/>
      <c r="T6" s="219"/>
      <c r="U6" s="219"/>
      <c r="V6" s="219"/>
      <c r="W6" s="219"/>
      <c r="X6" s="219"/>
      <c r="Y6" s="219"/>
      <c r="Z6" s="219" t="s">
        <v>136</v>
      </c>
      <c r="AA6" s="219"/>
      <c r="AB6" s="219"/>
      <c r="AC6" s="219"/>
      <c r="AD6" s="219"/>
      <c r="AE6" s="219"/>
      <c r="AF6" s="219"/>
      <c r="AG6" s="219" t="s">
        <v>33</v>
      </c>
      <c r="AH6" s="219"/>
      <c r="AI6" s="219"/>
      <c r="AJ6" s="219"/>
      <c r="AK6" s="219"/>
      <c r="AL6" s="21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row>
    <row r="7" spans="1:70" ht="16.5" customHeight="1" x14ac:dyDescent="0.3">
      <c r="A7" s="218" t="s">
        <v>0</v>
      </c>
      <c r="B7" s="143"/>
      <c r="C7" s="143"/>
      <c r="D7" s="217" t="s">
        <v>192</v>
      </c>
      <c r="E7" s="217" t="s">
        <v>198</v>
      </c>
      <c r="F7" s="142"/>
      <c r="G7" s="217" t="s">
        <v>46</v>
      </c>
      <c r="H7" s="198" t="s">
        <v>200</v>
      </c>
      <c r="I7" s="217" t="s">
        <v>129</v>
      </c>
      <c r="J7" s="217" t="s">
        <v>32</v>
      </c>
      <c r="K7" s="219" t="s">
        <v>4</v>
      </c>
      <c r="L7" s="217" t="s">
        <v>83</v>
      </c>
      <c r="M7" s="217" t="s">
        <v>88</v>
      </c>
      <c r="N7" s="217" t="s">
        <v>41</v>
      </c>
      <c r="O7" s="219" t="s">
        <v>4</v>
      </c>
      <c r="P7" s="217" t="s">
        <v>44</v>
      </c>
      <c r="Q7" s="216" t="s">
        <v>10</v>
      </c>
      <c r="R7" s="217" t="s">
        <v>155</v>
      </c>
      <c r="S7" s="217" t="s">
        <v>11</v>
      </c>
      <c r="T7" s="217" t="s">
        <v>7</v>
      </c>
      <c r="U7" s="217"/>
      <c r="V7" s="217"/>
      <c r="W7" s="217"/>
      <c r="X7" s="217"/>
      <c r="Y7" s="217"/>
      <c r="Z7" s="216" t="s">
        <v>132</v>
      </c>
      <c r="AA7" s="216" t="s">
        <v>42</v>
      </c>
      <c r="AB7" s="216" t="s">
        <v>4</v>
      </c>
      <c r="AC7" s="216" t="s">
        <v>43</v>
      </c>
      <c r="AD7" s="216" t="s">
        <v>4</v>
      </c>
      <c r="AE7" s="216" t="s">
        <v>45</v>
      </c>
      <c r="AF7" s="216" t="s">
        <v>28</v>
      </c>
      <c r="AG7" s="217" t="s">
        <v>33</v>
      </c>
      <c r="AH7" s="217" t="s">
        <v>34</v>
      </c>
      <c r="AI7" s="217" t="s">
        <v>35</v>
      </c>
      <c r="AJ7" s="217" t="s">
        <v>37</v>
      </c>
      <c r="AK7" s="217" t="s">
        <v>36</v>
      </c>
      <c r="AL7" s="217" t="s">
        <v>38</v>
      </c>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row>
    <row r="8" spans="1:70" s="112" customFormat="1" ht="120" customHeight="1" x14ac:dyDescent="0.25">
      <c r="A8" s="218"/>
      <c r="B8" s="144" t="s">
        <v>189</v>
      </c>
      <c r="C8" s="144" t="s">
        <v>201</v>
      </c>
      <c r="D8" s="217"/>
      <c r="E8" s="217"/>
      <c r="F8" s="142" t="s">
        <v>197</v>
      </c>
      <c r="G8" s="217"/>
      <c r="H8" s="199"/>
      <c r="I8" s="217"/>
      <c r="J8" s="217"/>
      <c r="K8" s="219"/>
      <c r="L8" s="217"/>
      <c r="M8" s="217"/>
      <c r="N8" s="219"/>
      <c r="O8" s="219"/>
      <c r="P8" s="217"/>
      <c r="Q8" s="216"/>
      <c r="R8" s="217"/>
      <c r="S8" s="217"/>
      <c r="T8" s="130" t="s">
        <v>12</v>
      </c>
      <c r="U8" s="130" t="s">
        <v>16</v>
      </c>
      <c r="V8" s="130" t="s">
        <v>27</v>
      </c>
      <c r="W8" s="130" t="s">
        <v>17</v>
      </c>
      <c r="X8" s="130" t="s">
        <v>20</v>
      </c>
      <c r="Y8" s="130" t="s">
        <v>23</v>
      </c>
      <c r="Z8" s="216"/>
      <c r="AA8" s="216"/>
      <c r="AB8" s="216"/>
      <c r="AC8" s="216"/>
      <c r="AD8" s="216"/>
      <c r="AE8" s="216"/>
      <c r="AF8" s="216"/>
      <c r="AG8" s="217"/>
      <c r="AH8" s="217"/>
      <c r="AI8" s="217"/>
      <c r="AJ8" s="217"/>
      <c r="AK8" s="217"/>
      <c r="AL8" s="217"/>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row>
    <row r="9" spans="1:70" s="125" customFormat="1" ht="129.75" customHeight="1" x14ac:dyDescent="0.25">
      <c r="A9" s="209">
        <v>1</v>
      </c>
      <c r="B9" s="213" t="s">
        <v>211</v>
      </c>
      <c r="C9" s="213" t="s">
        <v>213</v>
      </c>
      <c r="D9" s="212" t="s">
        <v>214</v>
      </c>
      <c r="E9" s="200" t="s">
        <v>225</v>
      </c>
      <c r="F9" s="200" t="s">
        <v>225</v>
      </c>
      <c r="G9" s="210" t="s">
        <v>212</v>
      </c>
      <c r="H9" s="201" t="s">
        <v>209</v>
      </c>
      <c r="I9" s="211">
        <v>50</v>
      </c>
      <c r="J9" s="207" t="str">
        <f>IF(I9&lt;=0,"",IF(I9&lt;=2,"Muy Baja",IF(I9&lt;=24,"Baja",IF(I9&lt;=500,"Media",IF(I9&lt;=5000,"Alta","Muy Alta")))))</f>
        <v>Media</v>
      </c>
      <c r="K9" s="206">
        <f>IF(J9="","",IF(J9="Muy Baja",0.2,IF(J9="Baja",0.4,IF(J9="Media",0.6,IF(J9="Alta",0.8,IF(J9="Muy Alta",1,))))))</f>
        <v>0.6</v>
      </c>
      <c r="L9" s="205" t="s">
        <v>145</v>
      </c>
      <c r="M9" s="206" t="s">
        <v>215</v>
      </c>
      <c r="N9" s="207" t="s">
        <v>216</v>
      </c>
      <c r="O9" s="206"/>
      <c r="P9" s="208" t="s">
        <v>77</v>
      </c>
      <c r="Q9" s="113">
        <v>1</v>
      </c>
      <c r="R9" s="114" t="s">
        <v>227</v>
      </c>
      <c r="S9" s="115" t="str">
        <f>IF(OR(T9="Preventivo",T9="Detectivo"),"Probabilidad",IF(T9="Correctivo","Impacto",""))</f>
        <v>Probabilidad</v>
      </c>
      <c r="T9" s="116" t="s">
        <v>13</v>
      </c>
      <c r="U9" s="116" t="s">
        <v>9</v>
      </c>
      <c r="V9" s="117" t="str">
        <f>IF(AND(T9="Preventivo",U9="Automático"),"50%",IF(AND(T9="Preventivo",U9="Manual"),"40%",IF(AND(T9="Detectivo",U9="Automático"),"40%",IF(AND(T9="Detectivo",U9="Manual"),"30%",IF(AND(T9="Correctivo",U9="Automático"),"35%",IF(AND(T9="Correctivo",U9="Manual"),"25%",""))))))</f>
        <v>50%</v>
      </c>
      <c r="W9" s="116" t="s">
        <v>18</v>
      </c>
      <c r="X9" s="116" t="s">
        <v>21</v>
      </c>
      <c r="Y9" s="116" t="s">
        <v>115</v>
      </c>
      <c r="Z9" s="118">
        <f>IFERROR(IF(S9="Probabilidad",(K9-(+K9*V9)),IF(S9="Impacto",K9,"")),"")</f>
        <v>0.3</v>
      </c>
      <c r="AA9" s="119" t="str">
        <f>IFERROR(IF(Z9="","",IF(Z9&lt;=0.2,"Muy Baja",IF(Z9&lt;=0.4,"Baja",IF(Z9&lt;=0.6,"Media",IF(Z9&lt;=0.8,"Alta","Muy Alta"))))),"")</f>
        <v>Baja</v>
      </c>
      <c r="AB9" s="117">
        <f>+Z9</f>
        <v>0.3</v>
      </c>
      <c r="AC9" s="119" t="str">
        <f>IFERROR(IF(AD9="","",IF(AD9&lt;=0.2,"Leve",IF(AD9&lt;=0.4,"Menor",IF(AD9&lt;=0.6,"Moderado",IF(AD9&lt;=0.8,"Mayor","Catastrófico"))))),"")</f>
        <v>Leve</v>
      </c>
      <c r="AD9" s="117">
        <f>IFERROR(IF(S9="Impacto",(O9-(+O9*V9)),IF(S9="Probabilidad",O9,"")),"")</f>
        <v>0</v>
      </c>
      <c r="AE9" s="120" t="str">
        <f>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Bajo</v>
      </c>
      <c r="AF9" s="116" t="s">
        <v>130</v>
      </c>
      <c r="AG9" s="150" t="s">
        <v>228</v>
      </c>
      <c r="AH9" s="149" t="s">
        <v>219</v>
      </c>
      <c r="AI9" s="123">
        <v>44423</v>
      </c>
      <c r="AJ9" s="123">
        <v>44560</v>
      </c>
      <c r="AK9" s="121" t="s">
        <v>236</v>
      </c>
      <c r="AL9" s="122" t="s">
        <v>39</v>
      </c>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row>
    <row r="10" spans="1:70" ht="154.5" customHeight="1" x14ac:dyDescent="0.3">
      <c r="A10" s="209"/>
      <c r="B10" s="214"/>
      <c r="C10" s="214"/>
      <c r="D10" s="212"/>
      <c r="E10" s="200"/>
      <c r="F10" s="200"/>
      <c r="G10" s="210"/>
      <c r="H10" s="202"/>
      <c r="I10" s="211"/>
      <c r="J10" s="207"/>
      <c r="K10" s="206"/>
      <c r="L10" s="205"/>
      <c r="M10" s="206"/>
      <c r="N10" s="207"/>
      <c r="O10" s="206"/>
      <c r="P10" s="208"/>
      <c r="Q10" s="113">
        <v>2</v>
      </c>
      <c r="R10" s="114" t="s">
        <v>226</v>
      </c>
      <c r="S10" s="115" t="str">
        <f>IF(OR(T10="Preventivo",T10="Detectivo"),"Probabilidad",IF(T10="Correctivo","Impacto",""))</f>
        <v>Probabilidad</v>
      </c>
      <c r="T10" s="116" t="s">
        <v>14</v>
      </c>
      <c r="U10" s="116" t="s">
        <v>9</v>
      </c>
      <c r="V10" s="117"/>
      <c r="W10" s="116" t="s">
        <v>18</v>
      </c>
      <c r="X10" s="116" t="s">
        <v>21</v>
      </c>
      <c r="Y10" s="116" t="s">
        <v>115</v>
      </c>
      <c r="Z10" s="118">
        <f>IFERROR(IF(AND(S9="Probabilidad",S10="Probabilidad"),(AB9-(+AB9*V10)),IF(S10="Probabilidad",(K9-(+K9*V10)),IF(S10="Impacto",AB9,""))),"")</f>
        <v>0.3</v>
      </c>
      <c r="AA10" s="119" t="str">
        <f t="shared" ref="AA10:AA68" si="0">IFERROR(IF(Z10="","",IF(Z10&lt;=0.2,"Muy Baja",IF(Z10&lt;=0.4,"Baja",IF(Z10&lt;=0.6,"Media",IF(Z10&lt;=0.8,"Alta","Muy Alta"))))),"")</f>
        <v>Baja</v>
      </c>
      <c r="AB10" s="117">
        <f t="shared" ref="AB10:AB14" si="1">+Z10</f>
        <v>0.3</v>
      </c>
      <c r="AC10" s="119" t="str">
        <f t="shared" ref="AC10:AC68" si="2">IFERROR(IF(AD10="","",IF(AD10&lt;=0.2,"Leve",IF(AD10&lt;=0.4,"Menor",IF(AD10&lt;=0.6,"Moderado",IF(AD10&lt;=0.8,"Mayor","Catastrófico"))))),"")</f>
        <v>Leve</v>
      </c>
      <c r="AD10" s="117">
        <f>IFERROR(IF(AND(S9="Impacto",S10="Impacto"),(AD9-(+AD9*V10)),IF(S10="Impacto",($O$9-(+$O$9*V10)),IF(S10="Probabilidad",AD9,""))),"")</f>
        <v>0</v>
      </c>
      <c r="AE10" s="120" t="str">
        <f t="shared" ref="AE10:AE14" si="3">IFERROR(IF(OR(AND(AA10="Muy Baja",AC10="Leve"),AND(AA10="Muy Baja",AC10="Menor"),AND(AA10="Baja",AC10="Leve")),"Bajo",IF(OR(AND(AA10="Muy baja",AC10="Moderado"),AND(AA10="Baja",AC10="Menor"),AND(AA10="Baja",AC10="Moderado"),AND(AA10="Media",AC10="Leve"),AND(AA10="Media",AC10="Menor"),AND(AA10="Media",AC10="Moderado"),AND(AA10="Alta",AC10="Leve"),AND(AA10="Alta",AC10="Menor")),"Moderado",IF(OR(AND(AA10="Muy Baja",AC10="Mayor"),AND(AA10="Baja",AC10="Mayor"),AND(AA10="Media",AC10="Mayor"),AND(AA10="Alta",AC10="Moderado"),AND(AA10="Alta",AC10="Mayor"),AND(AA10="Muy Alta",AC10="Leve"),AND(AA10="Muy Alta",AC10="Menor"),AND(AA10="Muy Alta",AC10="Moderado"),AND(AA10="Muy Alta",AC10="Mayor")),"Alto",IF(OR(AND(AA10="Muy Baja",AC10="Catastrófico"),AND(AA10="Baja",AC10="Catastrófico"),AND(AA10="Media",AC10="Catastrófico"),AND(AA10="Alta",AC10="Catastrófico"),AND(AA10="Muy Alta",AC10="Catastrófico")),"Extremo","")))),"")</f>
        <v>Bajo</v>
      </c>
      <c r="AF10" s="116" t="s">
        <v>130</v>
      </c>
      <c r="AG10" s="121" t="s">
        <v>217</v>
      </c>
      <c r="AH10" s="149" t="s">
        <v>218</v>
      </c>
      <c r="AI10" s="123">
        <v>44423</v>
      </c>
      <c r="AJ10" s="123">
        <v>44560</v>
      </c>
      <c r="AK10" s="152" t="s">
        <v>234</v>
      </c>
      <c r="AL10" s="122" t="s">
        <v>39</v>
      </c>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row>
    <row r="11" spans="1:70" x14ac:dyDescent="0.3">
      <c r="A11" s="209"/>
      <c r="B11" s="214"/>
      <c r="C11" s="214"/>
      <c r="D11" s="212"/>
      <c r="E11" s="200"/>
      <c r="F11" s="200"/>
      <c r="G11" s="210"/>
      <c r="H11" s="202"/>
      <c r="I11" s="211"/>
      <c r="J11" s="207"/>
      <c r="K11" s="206"/>
      <c r="L11" s="205"/>
      <c r="M11" s="206"/>
      <c r="N11" s="207"/>
      <c r="O11" s="206"/>
      <c r="P11" s="208"/>
      <c r="Q11" s="113">
        <v>3</v>
      </c>
      <c r="R11" s="126"/>
      <c r="S11" s="115"/>
      <c r="T11" s="116"/>
      <c r="U11" s="116"/>
      <c r="V11" s="117"/>
      <c r="W11" s="116"/>
      <c r="X11" s="116"/>
      <c r="Y11" s="116"/>
      <c r="Z11" s="118" t="str">
        <f>IFERROR(IF(AND(S10="Probabilidad",S11="Probabilidad"),(AB10-(+AB10*V11)),IF(AND(S10="Impacto",S11="Probabilidad"),(AB9-(+AB9*V11)),IF(S11="Impacto",AB10,""))),"")</f>
        <v/>
      </c>
      <c r="AA11" s="119" t="str">
        <f t="shared" si="0"/>
        <v/>
      </c>
      <c r="AB11" s="117" t="str">
        <f t="shared" si="1"/>
        <v/>
      </c>
      <c r="AC11" s="119" t="str">
        <f t="shared" si="2"/>
        <v/>
      </c>
      <c r="AD11" s="117" t="str">
        <f>IFERROR(IF(AND(S10="Impacto",S11="Impacto"),(AD10-(+AD10*V11)),IF(AND(S10="Probabilidad",S11="Impacto"),(AD9-(+AD9*V11)),IF(S11="Probabilidad",AD10,""))),"")</f>
        <v/>
      </c>
      <c r="AE11" s="120" t="str">
        <f t="shared" si="3"/>
        <v/>
      </c>
      <c r="AF11" s="116"/>
      <c r="AG11" s="121"/>
      <c r="AH11" s="149"/>
      <c r="AI11" s="123"/>
      <c r="AJ11" s="123"/>
      <c r="AK11" s="121"/>
      <c r="AL11" s="122"/>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row>
    <row r="12" spans="1:70" x14ac:dyDescent="0.3">
      <c r="A12" s="209"/>
      <c r="B12" s="214"/>
      <c r="C12" s="214"/>
      <c r="D12" s="212"/>
      <c r="E12" s="200"/>
      <c r="F12" s="200"/>
      <c r="G12" s="210"/>
      <c r="H12" s="202"/>
      <c r="I12" s="211"/>
      <c r="J12" s="207"/>
      <c r="K12" s="206"/>
      <c r="L12" s="205"/>
      <c r="M12" s="206"/>
      <c r="N12" s="207"/>
      <c r="O12" s="206"/>
      <c r="P12" s="208"/>
      <c r="Q12" s="113">
        <v>4</v>
      </c>
      <c r="R12" s="114"/>
      <c r="S12" s="115"/>
      <c r="T12" s="116"/>
      <c r="U12" s="116"/>
      <c r="V12" s="117"/>
      <c r="W12" s="116"/>
      <c r="X12" s="116"/>
      <c r="Y12" s="116"/>
      <c r="Z12" s="118" t="str">
        <f t="shared" ref="Z12:Z14" si="4">IFERROR(IF(AND(S11="Probabilidad",S12="Probabilidad"),(AB11-(+AB11*V12)),IF(AND(S11="Impacto",S12="Probabilidad"),(AB10-(+AB10*V12)),IF(S12="Impacto",AB11,""))),"")</f>
        <v/>
      </c>
      <c r="AA12" s="119" t="str">
        <f t="shared" si="0"/>
        <v/>
      </c>
      <c r="AB12" s="117" t="str">
        <f t="shared" si="1"/>
        <v/>
      </c>
      <c r="AC12" s="119" t="str">
        <f t="shared" si="2"/>
        <v/>
      </c>
      <c r="AD12" s="117" t="str">
        <f t="shared" ref="AD12:AD14" si="5">IFERROR(IF(AND(S11="Impacto",S12="Impacto"),(AD11-(+AD11*V12)),IF(AND(S11="Probabilidad",S12="Impacto"),(AD10-(+AD10*V12)),IF(S12="Probabilidad",AD11,""))),"")</f>
        <v/>
      </c>
      <c r="AE12" s="120" t="str">
        <f>IFERROR(IF(OR(AND(AA12="Muy Baja",AC12="Leve"),AND(AA12="Muy Baja",AC12="Menor"),AND(AA12="Baja",AC12="Leve")),"Bajo",IF(OR(AND(AA12="Muy baja",AC12="Moderado"),AND(AA12="Baja",AC12="Menor"),AND(AA12="Baja",AC12="Moderado"),AND(AA12="Media",AC12="Leve"),AND(AA12="Media",AC12="Menor"),AND(AA12="Media",AC12="Moderado"),AND(AA12="Alta",AC12="Leve"),AND(AA12="Alta",AC12="Menor")),"Moderado",IF(OR(AND(AA12="Muy Baja",AC12="Mayor"),AND(AA12="Baja",AC12="Mayor"),AND(AA12="Media",AC12="Mayor"),AND(AA12="Alta",AC12="Moderado"),AND(AA12="Alta",AC12="Mayor"),AND(AA12="Muy Alta",AC12="Leve"),AND(AA12="Muy Alta",AC12="Menor"),AND(AA12="Muy Alta",AC12="Moderado"),AND(AA12="Muy Alta",AC12="Mayor")),"Alto",IF(OR(AND(AA12="Muy Baja",AC12="Catastrófico"),AND(AA12="Baja",AC12="Catastrófico"),AND(AA12="Media",AC12="Catastrófico"),AND(AA12="Alta",AC12="Catastrófico"),AND(AA12="Muy Alta",AC12="Catastrófico")),"Extremo","")))),"")</f>
        <v/>
      </c>
      <c r="AF12" s="116"/>
      <c r="AG12" s="121"/>
      <c r="AH12" s="122"/>
      <c r="AI12" s="123"/>
      <c r="AJ12" s="123"/>
      <c r="AK12" s="121"/>
      <c r="AL12" s="122"/>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row>
    <row r="13" spans="1:70" x14ac:dyDescent="0.3">
      <c r="A13" s="209"/>
      <c r="B13" s="214"/>
      <c r="C13" s="214"/>
      <c r="D13" s="212"/>
      <c r="E13" s="200"/>
      <c r="F13" s="200"/>
      <c r="G13" s="210"/>
      <c r="H13" s="202"/>
      <c r="I13" s="211"/>
      <c r="J13" s="207"/>
      <c r="K13" s="206"/>
      <c r="L13" s="205"/>
      <c r="M13" s="206"/>
      <c r="N13" s="207"/>
      <c r="O13" s="206"/>
      <c r="P13" s="208"/>
      <c r="Q13" s="113">
        <v>5</v>
      </c>
      <c r="R13" s="114"/>
      <c r="S13" s="115" t="str">
        <f t="shared" ref="S13" si="6">IF(OR(T13="Preventivo",T13="Detectivo"),"Probabilidad",IF(T13="Correctivo","Impacto",""))</f>
        <v/>
      </c>
      <c r="T13" s="116"/>
      <c r="U13" s="116"/>
      <c r="V13" s="117" t="str">
        <f t="shared" ref="V13:V14" si="7">IF(AND(T13="Preventivo",U13="Automático"),"50%",IF(AND(T13="Preventivo",U13="Manual"),"40%",IF(AND(T13="Detectivo",U13="Automático"),"40%",IF(AND(T13="Detectivo",U13="Manual"),"30%",IF(AND(T13="Correctivo",U13="Automático"),"35%",IF(AND(T13="Correctivo",U13="Manual"),"25%",""))))))</f>
        <v/>
      </c>
      <c r="W13" s="116"/>
      <c r="X13" s="116"/>
      <c r="Y13" s="116"/>
      <c r="Z13" s="118" t="str">
        <f t="shared" si="4"/>
        <v/>
      </c>
      <c r="AA13" s="119" t="str">
        <f t="shared" si="0"/>
        <v/>
      </c>
      <c r="AB13" s="117" t="str">
        <f t="shared" si="1"/>
        <v/>
      </c>
      <c r="AC13" s="119" t="str">
        <f t="shared" si="2"/>
        <v/>
      </c>
      <c r="AD13" s="117" t="str">
        <f t="shared" si="5"/>
        <v/>
      </c>
      <c r="AE13" s="120" t="str">
        <f t="shared" si="3"/>
        <v/>
      </c>
      <c r="AF13" s="116"/>
      <c r="AG13" s="121"/>
      <c r="AH13" s="122"/>
      <c r="AI13" s="123"/>
      <c r="AJ13" s="123"/>
      <c r="AK13" s="121"/>
      <c r="AL13" s="122"/>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row>
    <row r="14" spans="1:70" ht="73.5" customHeight="1" x14ac:dyDescent="0.3">
      <c r="A14" s="209"/>
      <c r="B14" s="215"/>
      <c r="C14" s="214"/>
      <c r="D14" s="212"/>
      <c r="E14" s="200"/>
      <c r="F14" s="200"/>
      <c r="G14" s="210"/>
      <c r="H14" s="203"/>
      <c r="I14" s="211"/>
      <c r="J14" s="207"/>
      <c r="K14" s="206"/>
      <c r="L14" s="205"/>
      <c r="M14" s="206"/>
      <c r="N14" s="207"/>
      <c r="O14" s="206"/>
      <c r="P14" s="208"/>
      <c r="Q14" s="113">
        <v>6</v>
      </c>
      <c r="R14" s="114"/>
      <c r="S14" s="115" t="str">
        <f t="shared" ref="S14" si="8">IF(OR(T14="Preventivo",T14="Detectivo"),"Probabilidad",IF(T14="Correctivo","Impacto",""))</f>
        <v/>
      </c>
      <c r="T14" s="116"/>
      <c r="U14" s="116"/>
      <c r="V14" s="117" t="str">
        <f t="shared" si="7"/>
        <v/>
      </c>
      <c r="W14" s="116"/>
      <c r="X14" s="116"/>
      <c r="Y14" s="116"/>
      <c r="Z14" s="118" t="str">
        <f t="shared" si="4"/>
        <v/>
      </c>
      <c r="AA14" s="119" t="str">
        <f t="shared" si="0"/>
        <v/>
      </c>
      <c r="AB14" s="117" t="str">
        <f t="shared" si="1"/>
        <v/>
      </c>
      <c r="AC14" s="119" t="str">
        <f t="shared" si="2"/>
        <v/>
      </c>
      <c r="AD14" s="117" t="str">
        <f t="shared" si="5"/>
        <v/>
      </c>
      <c r="AE14" s="120" t="str">
        <f t="shared" si="3"/>
        <v/>
      </c>
      <c r="AF14" s="116"/>
      <c r="AG14" s="121"/>
      <c r="AH14" s="122"/>
      <c r="AI14" s="123"/>
      <c r="AJ14" s="123"/>
      <c r="AK14" s="121"/>
      <c r="AL14" s="122"/>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row>
    <row r="15" spans="1:70" ht="75.75" x14ac:dyDescent="0.3">
      <c r="A15" s="209">
        <v>2</v>
      </c>
      <c r="B15" s="213" t="s">
        <v>211</v>
      </c>
      <c r="C15" s="214"/>
      <c r="D15" s="210" t="s">
        <v>230</v>
      </c>
      <c r="E15" s="200" t="s">
        <v>229</v>
      </c>
      <c r="F15" s="200" t="s">
        <v>229</v>
      </c>
      <c r="G15" s="210" t="s">
        <v>231</v>
      </c>
      <c r="H15" s="201" t="s">
        <v>209</v>
      </c>
      <c r="I15" s="211">
        <v>20</v>
      </c>
      <c r="J15" s="207" t="str">
        <f>IF(I15&lt;=0,"",IF(I15&lt;=2,"Muy Baja",IF(I15&lt;=24,"Baja",IF(I15&lt;=500,"Media",IF(I15&lt;=5000,"Alta","Muy Alta")))))</f>
        <v>Baja</v>
      </c>
      <c r="K15" s="206">
        <f>IF(J15="","",IF(J15="Muy Baja",0.2,IF(J15="Baja",0.4,IF(J15="Media",0.6,IF(J15="Alta",0.8,IF(J15="Muy Alta",1,))))))</f>
        <v>0.4</v>
      </c>
      <c r="L15" s="205" t="s">
        <v>138</v>
      </c>
      <c r="M15" s="206" t="str">
        <f ca="1">IF(NOT(ISERROR(MATCH(L15,'Tabla Impacto'!$B$221:$B$223,0))),'Tabla Impacto'!$F$223&amp;"Por favor no seleccionar los criterios de impacto(Afectación Económica o presupuestal y Pérdida Reputacional)",L15)</f>
        <v xml:space="preserve">     Afectación menor a 10 SMLMV .</v>
      </c>
      <c r="N15" s="207" t="str">
        <f ca="1">IF(OR(M15='Tabla Impacto'!$C$11,M15='Tabla Impacto'!$D$11),"Leve",IF(OR(M15='Tabla Impacto'!$C$12,M15='Tabla Impacto'!$D$12),"Menor",IF(OR(M15='Tabla Impacto'!$C$13,M15='Tabla Impacto'!$D$13),"Moderado",IF(OR(M15='Tabla Impacto'!$C$14,M15='Tabla Impacto'!$D$14),"Mayor",IF(OR(M15='Tabla Impacto'!$C$15,M15='Tabla Impacto'!$D$15),"Catastrófico","")))))</f>
        <v>Leve</v>
      </c>
      <c r="O15" s="206">
        <f ca="1">IF(N15="","",IF(N15="Leve",0.2,IF(N15="Menor",0.4,IF(N15="Moderado",0.6,IF(N15="Mayor",0.8,IF(N15="Catastrófico",1,))))))</f>
        <v>0.2</v>
      </c>
      <c r="P15" s="208" t="str">
        <f ca="1">IF(OR(AND(J15="Muy Baja",N15="Leve"),AND(J15="Muy Baja",N15="Menor"),AND(J15="Baja",N15="Leve")),"Bajo",IF(OR(AND(J15="Muy baja",N15="Moderado"),AND(J15="Baja",N15="Menor"),AND(J15="Baja",N15="Moderado"),AND(J15="Media",N15="Leve"),AND(J15="Media",N15="Menor"),AND(J15="Media",N15="Moderado"),AND(J15="Alta",N15="Leve"),AND(J15="Alta",N15="Menor")),"Moderado",IF(OR(AND(J15="Muy Baja",N15="Mayor"),AND(J15="Baja",N15="Mayor"),AND(J15="Media",N15="Mayor"),AND(J15="Alta",N15="Moderado"),AND(J15="Alta",N15="Mayor"),AND(J15="Muy Alta",N15="Leve"),AND(J15="Muy Alta",N15="Menor"),AND(J15="Muy Alta",N15="Moderado"),AND(J15="Muy Alta",N15="Mayor")),"Alto",IF(OR(AND(J15="Muy Baja",N15="Catastrófico"),AND(J15="Baja",N15="Catastrófico"),AND(J15="Media",N15="Catastrófico"),AND(J15="Alta",N15="Catastrófico"),AND(J15="Muy Alta",N15="Catastrófico")),"Extremo",""))))</f>
        <v>Bajo</v>
      </c>
      <c r="Q15" s="113">
        <v>1</v>
      </c>
      <c r="R15" s="114" t="s">
        <v>232</v>
      </c>
      <c r="S15" s="115" t="str">
        <f>IF(OR(T15="Preventivo",T15="Detectivo"),"Probabilidad",IF(T15="Correctivo","Impacto",""))</f>
        <v>Probabilidad</v>
      </c>
      <c r="T15" s="116" t="s">
        <v>13</v>
      </c>
      <c r="U15" s="116" t="s">
        <v>9</v>
      </c>
      <c r="V15" s="117" t="str">
        <f>IF(AND(T15="Preventivo",U15="Automático"),"50%",IF(AND(T15="Preventivo",U15="Manual"),"40%",IF(AND(T15="Detectivo",U15="Automático"),"40%",IF(AND(T15="Detectivo",U15="Manual"),"30%",IF(AND(T15="Correctivo",U15="Automático"),"35%",IF(AND(T15="Correctivo",U15="Manual"),"25%",""))))))</f>
        <v>50%</v>
      </c>
      <c r="W15" s="116" t="s">
        <v>18</v>
      </c>
      <c r="X15" s="116" t="s">
        <v>21</v>
      </c>
      <c r="Y15" s="116" t="s">
        <v>115</v>
      </c>
      <c r="Z15" s="118">
        <f>IFERROR(IF(S15="Probabilidad",(K15-(+K15*V15)),IF(S15="Impacto",K15,"")),"")</f>
        <v>0.2</v>
      </c>
      <c r="AA15" s="119" t="str">
        <f>IFERROR(IF(Z15="","",IF(Z15&lt;=0.2,"Muy Baja",IF(Z15&lt;=0.4,"Baja",IF(Z15&lt;=0.6,"Media",IF(Z15&lt;=0.8,"Alta","Muy Alta"))))),"")</f>
        <v>Muy Baja</v>
      </c>
      <c r="AB15" s="117">
        <f>+Z15</f>
        <v>0.2</v>
      </c>
      <c r="AC15" s="119" t="str">
        <f ca="1">IFERROR(IF(AD15="","",IF(AD15&lt;=0.2,"Leve",IF(AD15&lt;=0.4,"Menor",IF(AD15&lt;=0.6,"Moderado",IF(AD15&lt;=0.8,"Mayor","Catastrófico"))))),"")</f>
        <v>Leve</v>
      </c>
      <c r="AD15" s="117">
        <f ca="1">IFERROR(IF(S15="Impacto",(O15-(+O15*V15)),IF(S15="Probabilidad",O15,"")),"")</f>
        <v>0.2</v>
      </c>
      <c r="AE15" s="120" t="str">
        <f ca="1">IFERROR(IF(OR(AND(AA15="Muy Baja",AC15="Leve"),AND(AA15="Muy Baja",AC15="Menor"),AND(AA15="Baja",AC15="Leve")),"Bajo",IF(OR(AND(AA15="Muy baja",AC15="Moderado"),AND(AA15="Baja",AC15="Menor"),AND(AA15="Baja",AC15="Moderado"),AND(AA15="Media",AC15="Leve"),AND(AA15="Media",AC15="Menor"),AND(AA15="Media",AC15="Moderado"),AND(AA15="Alta",AC15="Leve"),AND(AA15="Alta",AC15="Menor")),"Moderado",IF(OR(AND(AA15="Muy Baja",AC15="Mayor"),AND(AA15="Baja",AC15="Mayor"),AND(AA15="Media",AC15="Mayor"),AND(AA15="Alta",AC15="Moderado"),AND(AA15="Alta",AC15="Mayor"),AND(AA15="Muy Alta",AC15="Leve"),AND(AA15="Muy Alta",AC15="Menor"),AND(AA15="Muy Alta",AC15="Moderado"),AND(AA15="Muy Alta",AC15="Mayor")),"Alto",IF(OR(AND(AA15="Muy Baja",AC15="Catastrófico"),AND(AA15="Baja",AC15="Catastrófico"),AND(AA15="Media",AC15="Catastrófico"),AND(AA15="Alta",AC15="Catastrófico"),AND(AA15="Muy Alta",AC15="Catastrófico")),"Extremo","")))),"")</f>
        <v>Bajo</v>
      </c>
      <c r="AF15" s="116" t="s">
        <v>130</v>
      </c>
      <c r="AG15" s="121" t="s">
        <v>233</v>
      </c>
      <c r="AH15" s="149" t="s">
        <v>220</v>
      </c>
      <c r="AI15" s="123">
        <v>44423</v>
      </c>
      <c r="AJ15" s="123">
        <v>44560</v>
      </c>
      <c r="AK15" s="152" t="s">
        <v>235</v>
      </c>
      <c r="AL15" s="122" t="s">
        <v>40</v>
      </c>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row>
    <row r="16" spans="1:70" ht="14.45" customHeight="1" x14ac:dyDescent="0.3">
      <c r="A16" s="209"/>
      <c r="B16" s="214"/>
      <c r="C16" s="214"/>
      <c r="D16" s="210"/>
      <c r="E16" s="200"/>
      <c r="F16" s="200"/>
      <c r="G16" s="210"/>
      <c r="H16" s="202"/>
      <c r="I16" s="211"/>
      <c r="J16" s="207"/>
      <c r="K16" s="206"/>
      <c r="L16" s="205"/>
      <c r="M16" s="206">
        <f ca="1">IF(NOT(ISERROR(MATCH(L16,_xlfn.ANCHORARRAY(E27),0))),K29&amp;"Por favor no seleccionar los criterios de impacto",L16)</f>
        <v>0</v>
      </c>
      <c r="N16" s="207"/>
      <c r="O16" s="206"/>
      <c r="P16" s="208"/>
      <c r="Q16" s="113">
        <v>2</v>
      </c>
      <c r="R16" s="114"/>
      <c r="S16" s="115" t="str">
        <f>IF(OR(T16="Preventivo",T16="Detectivo"),"Probabilidad",IF(T16="Correctivo","Impacto",""))</f>
        <v/>
      </c>
      <c r="T16" s="116"/>
      <c r="U16" s="116"/>
      <c r="V16" s="117" t="str">
        <f t="shared" ref="V16:V20" si="9">IF(AND(T16="Preventivo",U16="Automático"),"50%",IF(AND(T16="Preventivo",U16="Manual"),"40%",IF(AND(T16="Detectivo",U16="Automático"),"40%",IF(AND(T16="Detectivo",U16="Manual"),"30%",IF(AND(T16="Correctivo",U16="Automático"),"35%",IF(AND(T16="Correctivo",U16="Manual"),"25%",""))))))</f>
        <v/>
      </c>
      <c r="W16" s="116"/>
      <c r="X16" s="116"/>
      <c r="Y16" s="116"/>
      <c r="Z16" s="118" t="str">
        <f>IFERROR(IF(AND(S15="Probabilidad",S16="Probabilidad"),(AB15-(+AB15*V16)),IF(S16="Probabilidad",(K15-(+K15*V16)),IF(S16="Impacto",AB15,""))),"")</f>
        <v/>
      </c>
      <c r="AA16" s="119" t="str">
        <f t="shared" si="0"/>
        <v/>
      </c>
      <c r="AB16" s="117" t="str">
        <f t="shared" ref="AB16:AB20" si="10">+Z16</f>
        <v/>
      </c>
      <c r="AC16" s="119" t="str">
        <f t="shared" si="2"/>
        <v/>
      </c>
      <c r="AD16" s="117" t="str">
        <f>IFERROR(IF(AND(S15="Impacto",S16="Impacto"),(AD9-(+AD9*V16)),IF(S16="Impacto",($O$15-(+$O$15*V16)),IF(S16="Probabilidad",AD9,""))),"")</f>
        <v/>
      </c>
      <c r="AE16" s="120" t="str">
        <f t="shared" ref="AE16:AE17" si="11">IFERROR(IF(OR(AND(AA16="Muy Baja",AC16="Leve"),AND(AA16="Muy Baja",AC16="Menor"),AND(AA16="Baja",AC16="Leve")),"Bajo",IF(OR(AND(AA16="Muy baja",AC16="Moderado"),AND(AA16="Baja",AC16="Menor"),AND(AA16="Baja",AC16="Moderado"),AND(AA16="Media",AC16="Leve"),AND(AA16="Media",AC16="Menor"),AND(AA16="Media",AC16="Moderado"),AND(AA16="Alta",AC16="Leve"),AND(AA16="Alta",AC16="Menor")),"Moderado",IF(OR(AND(AA16="Muy Baja",AC16="Mayor"),AND(AA16="Baja",AC16="Mayor"),AND(AA16="Media",AC16="Mayor"),AND(AA16="Alta",AC16="Moderado"),AND(AA16="Alta",AC16="Mayor"),AND(AA16="Muy Alta",AC16="Leve"),AND(AA16="Muy Alta",AC16="Menor"),AND(AA16="Muy Alta",AC16="Moderado"),AND(AA16="Muy Alta",AC16="Mayor")),"Alto",IF(OR(AND(AA16="Muy Baja",AC16="Catastrófico"),AND(AA16="Baja",AC16="Catastrófico"),AND(AA16="Media",AC16="Catastrófico"),AND(AA16="Alta",AC16="Catastrófico"),AND(AA16="Muy Alta",AC16="Catastrófico")),"Extremo","")))),"")</f>
        <v/>
      </c>
      <c r="AF16" s="116"/>
      <c r="AG16" s="121"/>
      <c r="AH16" s="122"/>
      <c r="AI16" s="123"/>
      <c r="AJ16" s="123"/>
      <c r="AK16" s="121"/>
      <c r="AL16" s="122"/>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row>
    <row r="17" spans="1:70" ht="14.45" customHeight="1" x14ac:dyDescent="0.3">
      <c r="A17" s="209"/>
      <c r="B17" s="214"/>
      <c r="C17" s="214"/>
      <c r="D17" s="210"/>
      <c r="E17" s="200"/>
      <c r="F17" s="200"/>
      <c r="G17" s="210"/>
      <c r="H17" s="202"/>
      <c r="I17" s="211"/>
      <c r="J17" s="207"/>
      <c r="K17" s="206"/>
      <c r="L17" s="205"/>
      <c r="M17" s="206">
        <f ca="1">IF(NOT(ISERROR(MATCH(L17,_xlfn.ANCHORARRAY(E28),0))),K30&amp;"Por favor no seleccionar los criterios de impacto",L17)</f>
        <v>0</v>
      </c>
      <c r="N17" s="207"/>
      <c r="O17" s="206"/>
      <c r="P17" s="208"/>
      <c r="Q17" s="113">
        <v>3</v>
      </c>
      <c r="R17" s="126"/>
      <c r="S17" s="115" t="str">
        <f>IF(OR(T17="Preventivo",T17="Detectivo"),"Probabilidad",IF(T17="Correctivo","Impacto",""))</f>
        <v/>
      </c>
      <c r="T17" s="116"/>
      <c r="U17" s="116"/>
      <c r="V17" s="117" t="str">
        <f t="shared" si="9"/>
        <v/>
      </c>
      <c r="W17" s="116"/>
      <c r="X17" s="116"/>
      <c r="Y17" s="116"/>
      <c r="Z17" s="118" t="str">
        <f>IFERROR(IF(AND(S16="Probabilidad",S17="Probabilidad"),(AB16-(+AB16*V17)),IF(AND(S16="Impacto",S17="Probabilidad"),(AB15-(+AB15*V17)),IF(S17="Impacto",AB16,""))),"")</f>
        <v/>
      </c>
      <c r="AA17" s="119" t="str">
        <f t="shared" si="0"/>
        <v/>
      </c>
      <c r="AB17" s="117" t="str">
        <f t="shared" si="10"/>
        <v/>
      </c>
      <c r="AC17" s="119" t="str">
        <f t="shared" si="2"/>
        <v/>
      </c>
      <c r="AD17" s="117" t="str">
        <f>IFERROR(IF(AND(S16="Impacto",S17="Impacto"),(AD16-(+AD16*V17)),IF(AND(S16="Probabilidad",S17="Impacto"),(AD15-(+AD15*V17)),IF(S17="Probabilidad",AD16,""))),"")</f>
        <v/>
      </c>
      <c r="AE17" s="120" t="str">
        <f t="shared" si="11"/>
        <v/>
      </c>
      <c r="AF17" s="116"/>
      <c r="AG17" s="121"/>
      <c r="AH17" s="122"/>
      <c r="AI17" s="123"/>
      <c r="AJ17" s="123"/>
      <c r="AK17" s="121"/>
      <c r="AL17" s="122"/>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row>
    <row r="18" spans="1:70" ht="14.45" customHeight="1" x14ac:dyDescent="0.3">
      <c r="A18" s="209"/>
      <c r="B18" s="214"/>
      <c r="C18" s="214"/>
      <c r="D18" s="210"/>
      <c r="E18" s="200"/>
      <c r="F18" s="200"/>
      <c r="G18" s="210"/>
      <c r="H18" s="202"/>
      <c r="I18" s="211"/>
      <c r="J18" s="207"/>
      <c r="K18" s="206"/>
      <c r="L18" s="205"/>
      <c r="M18" s="206">
        <f ca="1">IF(NOT(ISERROR(MATCH(L18,_xlfn.ANCHORARRAY(E29),0))),K31&amp;"Por favor no seleccionar los criterios de impacto",L18)</f>
        <v>0</v>
      </c>
      <c r="N18" s="207"/>
      <c r="O18" s="206"/>
      <c r="P18" s="208"/>
      <c r="Q18" s="113">
        <v>4</v>
      </c>
      <c r="R18" s="114"/>
      <c r="S18" s="115" t="str">
        <f t="shared" ref="S18:S20" si="12">IF(OR(T18="Preventivo",T18="Detectivo"),"Probabilidad",IF(T18="Correctivo","Impacto",""))</f>
        <v/>
      </c>
      <c r="T18" s="116"/>
      <c r="U18" s="116"/>
      <c r="V18" s="117" t="str">
        <f t="shared" si="9"/>
        <v/>
      </c>
      <c r="W18" s="116"/>
      <c r="X18" s="116"/>
      <c r="Y18" s="116"/>
      <c r="Z18" s="118" t="str">
        <f t="shared" ref="Z18:Z20" si="13">IFERROR(IF(AND(S17="Probabilidad",S18="Probabilidad"),(AB17-(+AB17*V18)),IF(AND(S17="Impacto",S18="Probabilidad"),(AB16-(+AB16*V18)),IF(S18="Impacto",AB17,""))),"")</f>
        <v/>
      </c>
      <c r="AA18" s="119" t="str">
        <f t="shared" si="0"/>
        <v/>
      </c>
      <c r="AB18" s="117" t="str">
        <f t="shared" si="10"/>
        <v/>
      </c>
      <c r="AC18" s="119" t="str">
        <f t="shared" si="2"/>
        <v/>
      </c>
      <c r="AD18" s="117" t="str">
        <f t="shared" ref="AD18:AD20" si="14">IFERROR(IF(AND(S17="Impacto",S18="Impacto"),(AD17-(+AD17*V18)),IF(AND(S17="Probabilidad",S18="Impacto"),(AD16-(+AD16*V18)),IF(S18="Probabilidad",AD17,""))),"")</f>
        <v/>
      </c>
      <c r="AE18" s="120" t="str">
        <f>IFERROR(IF(OR(AND(AA18="Muy Baja",AC18="Leve"),AND(AA18="Muy Baja",AC18="Menor"),AND(AA18="Baja",AC18="Leve")),"Bajo",IF(OR(AND(AA18="Muy baja",AC18="Moderado"),AND(AA18="Baja",AC18="Menor"),AND(AA18="Baja",AC18="Moderado"),AND(AA18="Media",AC18="Leve"),AND(AA18="Media",AC18="Menor"),AND(AA18="Media",AC18="Moderado"),AND(AA18="Alta",AC18="Leve"),AND(AA18="Alta",AC18="Menor")),"Moderado",IF(OR(AND(AA18="Muy Baja",AC18="Mayor"),AND(AA18="Baja",AC18="Mayor"),AND(AA18="Media",AC18="Mayor"),AND(AA18="Alta",AC18="Moderado"),AND(AA18="Alta",AC18="Mayor"),AND(AA18="Muy Alta",AC18="Leve"),AND(AA18="Muy Alta",AC18="Menor"),AND(AA18="Muy Alta",AC18="Moderado"),AND(AA18="Muy Alta",AC18="Mayor")),"Alto",IF(OR(AND(AA18="Muy Baja",AC18="Catastrófico"),AND(AA18="Baja",AC18="Catastrófico"),AND(AA18="Media",AC18="Catastrófico"),AND(AA18="Alta",AC18="Catastrófico"),AND(AA18="Muy Alta",AC18="Catastrófico")),"Extremo","")))),"")</f>
        <v/>
      </c>
      <c r="AF18" s="116"/>
      <c r="AG18" s="121"/>
      <c r="AH18" s="122"/>
      <c r="AI18" s="123"/>
      <c r="AJ18" s="123"/>
      <c r="AK18" s="121"/>
      <c r="AL18" s="122"/>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row>
    <row r="19" spans="1:70" ht="14.45" customHeight="1" x14ac:dyDescent="0.3">
      <c r="A19" s="209"/>
      <c r="B19" s="214"/>
      <c r="C19" s="214"/>
      <c r="D19" s="210"/>
      <c r="E19" s="200"/>
      <c r="F19" s="200"/>
      <c r="G19" s="210"/>
      <c r="H19" s="202"/>
      <c r="I19" s="211"/>
      <c r="J19" s="207"/>
      <c r="K19" s="206"/>
      <c r="L19" s="205"/>
      <c r="M19" s="206">
        <f ca="1">IF(NOT(ISERROR(MATCH(L19,_xlfn.ANCHORARRAY(E30),0))),K32&amp;"Por favor no seleccionar los criterios de impacto",L19)</f>
        <v>0</v>
      </c>
      <c r="N19" s="207"/>
      <c r="O19" s="206"/>
      <c r="P19" s="208"/>
      <c r="Q19" s="113">
        <v>5</v>
      </c>
      <c r="R19" s="114"/>
      <c r="S19" s="115" t="str">
        <f t="shared" si="12"/>
        <v/>
      </c>
      <c r="T19" s="116"/>
      <c r="U19" s="116"/>
      <c r="V19" s="117" t="str">
        <f t="shared" si="9"/>
        <v/>
      </c>
      <c r="W19" s="116"/>
      <c r="X19" s="116"/>
      <c r="Y19" s="116"/>
      <c r="Z19" s="118" t="str">
        <f t="shared" si="13"/>
        <v/>
      </c>
      <c r="AA19" s="119" t="str">
        <f t="shared" si="0"/>
        <v/>
      </c>
      <c r="AB19" s="117" t="str">
        <f t="shared" si="10"/>
        <v/>
      </c>
      <c r="AC19" s="119" t="str">
        <f t="shared" si="2"/>
        <v/>
      </c>
      <c r="AD19" s="117" t="str">
        <f t="shared" si="14"/>
        <v/>
      </c>
      <c r="AE19" s="120" t="str">
        <f t="shared" ref="AE19:AE20" si="15">IFERROR(IF(OR(AND(AA19="Muy Baja",AC19="Leve"),AND(AA19="Muy Baja",AC19="Menor"),AND(AA19="Baja",AC19="Leve")),"Bajo",IF(OR(AND(AA19="Muy baja",AC19="Moderado"),AND(AA19="Baja",AC19="Menor"),AND(AA19="Baja",AC19="Moderado"),AND(AA19="Media",AC19="Leve"),AND(AA19="Media",AC19="Menor"),AND(AA19="Media",AC19="Moderado"),AND(AA19="Alta",AC19="Leve"),AND(AA19="Alta",AC19="Menor")),"Moderado",IF(OR(AND(AA19="Muy Baja",AC19="Mayor"),AND(AA19="Baja",AC19="Mayor"),AND(AA19="Media",AC19="Mayor"),AND(AA19="Alta",AC19="Moderado"),AND(AA19="Alta",AC19="Mayor"),AND(AA19="Muy Alta",AC19="Leve"),AND(AA19="Muy Alta",AC19="Menor"),AND(AA19="Muy Alta",AC19="Moderado"),AND(AA19="Muy Alta",AC19="Mayor")),"Alto",IF(OR(AND(AA19="Muy Baja",AC19="Catastrófico"),AND(AA19="Baja",AC19="Catastrófico"),AND(AA19="Media",AC19="Catastrófico"),AND(AA19="Alta",AC19="Catastrófico"),AND(AA19="Muy Alta",AC19="Catastrófico")),"Extremo","")))),"")</f>
        <v/>
      </c>
      <c r="AF19" s="116"/>
      <c r="AG19" s="121"/>
      <c r="AH19" s="122"/>
      <c r="AI19" s="123"/>
      <c r="AJ19" s="123"/>
      <c r="AK19" s="121"/>
      <c r="AL19" s="122"/>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row>
    <row r="20" spans="1:70" ht="65.25" customHeight="1" x14ac:dyDescent="0.3">
      <c r="A20" s="209"/>
      <c r="B20" s="215"/>
      <c r="C20" s="215"/>
      <c r="D20" s="210"/>
      <c r="E20" s="200"/>
      <c r="F20" s="200"/>
      <c r="G20" s="210"/>
      <c r="H20" s="203"/>
      <c r="I20" s="211"/>
      <c r="J20" s="207"/>
      <c r="K20" s="206"/>
      <c r="L20" s="205"/>
      <c r="M20" s="206">
        <f ca="1">IF(NOT(ISERROR(MATCH(L20,_xlfn.ANCHORARRAY(E31),0))),K33&amp;"Por favor no seleccionar los criterios de impacto",L20)</f>
        <v>0</v>
      </c>
      <c r="N20" s="207"/>
      <c r="O20" s="206"/>
      <c r="P20" s="208"/>
      <c r="Q20" s="113">
        <v>6</v>
      </c>
      <c r="R20" s="114"/>
      <c r="S20" s="115" t="str">
        <f t="shared" si="12"/>
        <v/>
      </c>
      <c r="T20" s="116"/>
      <c r="U20" s="116"/>
      <c r="V20" s="117" t="str">
        <f t="shared" si="9"/>
        <v/>
      </c>
      <c r="W20" s="116"/>
      <c r="X20" s="116"/>
      <c r="Y20" s="116"/>
      <c r="Z20" s="118" t="str">
        <f t="shared" si="13"/>
        <v/>
      </c>
      <c r="AA20" s="119" t="str">
        <f t="shared" si="0"/>
        <v/>
      </c>
      <c r="AB20" s="117" t="str">
        <f t="shared" si="10"/>
        <v/>
      </c>
      <c r="AC20" s="119" t="str">
        <f t="shared" si="2"/>
        <v/>
      </c>
      <c r="AD20" s="117" t="str">
        <f t="shared" si="14"/>
        <v/>
      </c>
      <c r="AE20" s="120" t="str">
        <f t="shared" si="15"/>
        <v/>
      </c>
      <c r="AF20" s="116"/>
      <c r="AG20" s="121"/>
      <c r="AH20" s="122"/>
      <c r="AI20" s="123"/>
      <c r="AJ20" s="123"/>
      <c r="AK20" s="121"/>
      <c r="AL20" s="122"/>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row>
    <row r="21" spans="1:70" x14ac:dyDescent="0.3">
      <c r="A21" s="209">
        <v>3</v>
      </c>
      <c r="B21" s="221"/>
      <c r="C21" s="221"/>
      <c r="D21" s="210"/>
      <c r="E21" s="200"/>
      <c r="F21" s="227"/>
      <c r="G21" s="210"/>
      <c r="H21" s="201"/>
      <c r="I21" s="211"/>
      <c r="J21" s="207" t="str">
        <f>IF(I21&lt;=0,"",IF(I21&lt;=2,"Muy Baja",IF(I21&lt;=24,"Baja",IF(I21&lt;=500,"Media",IF(I21&lt;=5000,"Alta","Muy Alta")))))</f>
        <v/>
      </c>
      <c r="K21" s="206" t="str">
        <f>IF(J21="","",IF(J21="Muy Baja",0.2,IF(J21="Baja",0.4,IF(J21="Media",0.6,IF(J21="Alta",0.8,IF(J21="Muy Alta",1,))))))</f>
        <v/>
      </c>
      <c r="L21" s="205"/>
      <c r="M21" s="206">
        <f ca="1">IF(NOT(ISERROR(MATCH(L21,'Tabla Impacto'!$B$221:$B$223,0))),'Tabla Impacto'!$F$223&amp;"Por favor no seleccionar los criterios de impacto(Afectación Económica o presupuestal y Pérdida Reputacional)",L21)</f>
        <v>0</v>
      </c>
      <c r="N21" s="207" t="str">
        <f ca="1">IF(OR(M21='Tabla Impacto'!$C$11,M21='Tabla Impacto'!$D$11),"Leve",IF(OR(M21='Tabla Impacto'!$C$12,M21='Tabla Impacto'!$D$12),"Menor",IF(OR(M21='Tabla Impacto'!$C$13,M21='Tabla Impacto'!$D$13),"Moderado",IF(OR(M21='Tabla Impacto'!$C$14,M21='Tabla Impacto'!$D$14),"Mayor",IF(OR(M21='Tabla Impacto'!$C$15,M21='Tabla Impacto'!$D$15),"Catastrófico","")))))</f>
        <v/>
      </c>
      <c r="O21" s="206" t="str">
        <f ca="1">IF(N21="","",IF(N21="Leve",0.2,IF(N21="Menor",0.4,IF(N21="Moderado",0.6,IF(N21="Mayor",0.8,IF(N21="Catastrófico",1,))))))</f>
        <v/>
      </c>
      <c r="P21" s="208" t="str">
        <f ca="1">IF(OR(AND(J21="Muy Baja",N21="Leve"),AND(J21="Muy Baja",N21="Menor"),AND(J21="Baja",N21="Leve")),"Bajo",IF(OR(AND(J21="Muy baja",N21="Moderado"),AND(J21="Baja",N21="Menor"),AND(J21="Baja",N21="Moderado"),AND(J21="Media",N21="Leve"),AND(J21="Media",N21="Menor"),AND(J21="Media",N21="Moderado"),AND(J21="Alta",N21="Leve"),AND(J21="Alta",N21="Menor")),"Moderado",IF(OR(AND(J21="Muy Baja",N21="Mayor"),AND(J21="Baja",N21="Mayor"),AND(J21="Media",N21="Mayor"),AND(J21="Alta",N21="Moderado"),AND(J21="Alta",N21="Mayor"),AND(J21="Muy Alta",N21="Leve"),AND(J21="Muy Alta",N21="Menor"),AND(J21="Muy Alta",N21="Moderado"),AND(J21="Muy Alta",N21="Mayor")),"Alto",IF(OR(AND(J21="Muy Baja",N21="Catastrófico"),AND(J21="Baja",N21="Catastrófico"),AND(J21="Media",N21="Catastrófico"),AND(J21="Alta",N21="Catastrófico"),AND(J21="Muy Alta",N21="Catastrófico")),"Extremo",""))))</f>
        <v/>
      </c>
      <c r="Q21" s="113">
        <v>1</v>
      </c>
      <c r="R21" s="114"/>
      <c r="S21" s="115" t="str">
        <f>IF(OR(T21="Preventivo",T21="Detectivo"),"Probabilidad",IF(T21="Correctivo","Impacto",""))</f>
        <v/>
      </c>
      <c r="T21" s="116"/>
      <c r="U21" s="116"/>
      <c r="V21" s="117" t="str">
        <f>IF(AND(T21="Preventivo",U21="Automático"),"50%",IF(AND(T21="Preventivo",U21="Manual"),"40%",IF(AND(T21="Detectivo",U21="Automático"),"40%",IF(AND(T21="Detectivo",U21="Manual"),"30%",IF(AND(T21="Correctivo",U21="Automático"),"35%",IF(AND(T21="Correctivo",U21="Manual"),"25%",""))))))</f>
        <v/>
      </c>
      <c r="W21" s="116"/>
      <c r="X21" s="116"/>
      <c r="Y21" s="116"/>
      <c r="Z21" s="118" t="str">
        <f>IFERROR(IF(S21="Probabilidad",(K21-(+K21*V21)),IF(S21="Impacto",K21,"")),"")</f>
        <v/>
      </c>
      <c r="AA21" s="119" t="str">
        <f>IFERROR(IF(Z21="","",IF(Z21&lt;=0.2,"Muy Baja",IF(Z21&lt;=0.4,"Baja",IF(Z21&lt;=0.6,"Media",IF(Z21&lt;=0.8,"Alta","Muy Alta"))))),"")</f>
        <v/>
      </c>
      <c r="AB21" s="117" t="str">
        <f>+Z21</f>
        <v/>
      </c>
      <c r="AC21" s="119" t="str">
        <f>IFERROR(IF(AD21="","",IF(AD21&lt;=0.2,"Leve",IF(AD21&lt;=0.4,"Menor",IF(AD21&lt;=0.6,"Moderado",IF(AD21&lt;=0.8,"Mayor","Catastrófico"))))),"")</f>
        <v/>
      </c>
      <c r="AD21" s="117" t="str">
        <f>IFERROR(IF(S21="Impacto",(O21-(+O21*V21)),IF(S21="Probabilidad",O21,"")),"")</f>
        <v/>
      </c>
      <c r="AE21" s="120" t="str">
        <f>IFERROR(IF(OR(AND(AA21="Muy Baja",AC21="Leve"),AND(AA21="Muy Baja",AC21="Menor"),AND(AA21="Baja",AC21="Leve")),"Bajo",IF(OR(AND(AA21="Muy baja",AC21="Moderado"),AND(AA21="Baja",AC21="Menor"),AND(AA21="Baja",AC21="Moderado"),AND(AA21="Media",AC21="Leve"),AND(AA21="Media",AC21="Menor"),AND(AA21="Media",AC21="Moderado"),AND(AA21="Alta",AC21="Leve"),AND(AA21="Alta",AC21="Menor")),"Moderado",IF(OR(AND(AA21="Muy Baja",AC21="Mayor"),AND(AA21="Baja",AC21="Mayor"),AND(AA21="Media",AC21="Mayor"),AND(AA21="Alta",AC21="Moderado"),AND(AA21="Alta",AC21="Mayor"),AND(AA21="Muy Alta",AC21="Leve"),AND(AA21="Muy Alta",AC21="Menor"),AND(AA21="Muy Alta",AC21="Moderado"),AND(AA21="Muy Alta",AC21="Mayor")),"Alto",IF(OR(AND(AA21="Muy Baja",AC21="Catastrófico"),AND(AA21="Baja",AC21="Catastrófico"),AND(AA21="Media",AC21="Catastrófico"),AND(AA21="Alta",AC21="Catastrófico"),AND(AA21="Muy Alta",AC21="Catastrófico")),"Extremo","")))),"")</f>
        <v/>
      </c>
      <c r="AF21" s="116"/>
      <c r="AG21" s="121"/>
      <c r="AH21" s="122"/>
      <c r="AI21" s="123"/>
      <c r="AJ21" s="123"/>
      <c r="AK21" s="121"/>
      <c r="AL21" s="122"/>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row>
    <row r="22" spans="1:70" ht="14.45" customHeight="1" x14ac:dyDescent="0.3">
      <c r="A22" s="209"/>
      <c r="B22" s="222"/>
      <c r="C22" s="222"/>
      <c r="D22" s="210"/>
      <c r="E22" s="200"/>
      <c r="F22" s="228"/>
      <c r="G22" s="210"/>
      <c r="H22" s="202"/>
      <c r="I22" s="211"/>
      <c r="J22" s="207"/>
      <c r="K22" s="206"/>
      <c r="L22" s="205"/>
      <c r="M22" s="206">
        <f t="shared" ref="M22:M26" ca="1" si="16">IF(NOT(ISERROR(MATCH(L22,_xlfn.ANCHORARRAY(E33),0))),K35&amp;"Por favor no seleccionar los criterios de impacto",L22)</f>
        <v>0</v>
      </c>
      <c r="N22" s="207"/>
      <c r="O22" s="206"/>
      <c r="P22" s="208"/>
      <c r="Q22" s="113">
        <v>2</v>
      </c>
      <c r="R22" s="114"/>
      <c r="S22" s="115" t="str">
        <f>IF(OR(T22="Preventivo",T22="Detectivo"),"Probabilidad",IF(T22="Correctivo","Impacto",""))</f>
        <v/>
      </c>
      <c r="T22" s="116"/>
      <c r="U22" s="116"/>
      <c r="V22" s="117" t="str">
        <f t="shared" ref="V22:V26" si="17">IF(AND(T22="Preventivo",U22="Automático"),"50%",IF(AND(T22="Preventivo",U22="Manual"),"40%",IF(AND(T22="Detectivo",U22="Automático"),"40%",IF(AND(T22="Detectivo",U22="Manual"),"30%",IF(AND(T22="Correctivo",U22="Automático"),"35%",IF(AND(T22="Correctivo",U22="Manual"),"25%",""))))))</f>
        <v/>
      </c>
      <c r="W22" s="116"/>
      <c r="X22" s="116"/>
      <c r="Y22" s="116"/>
      <c r="Z22" s="127" t="str">
        <f>IFERROR(IF(AND(S21="Probabilidad",S22="Probabilidad"),(AB21-(+AB21*V22)),IF(S22="Probabilidad",(K21-(+K21*V22)),IF(S22="Impacto",AB21,""))),"")</f>
        <v/>
      </c>
      <c r="AA22" s="119" t="str">
        <f t="shared" si="0"/>
        <v/>
      </c>
      <c r="AB22" s="117" t="str">
        <f t="shared" ref="AB22:AB26" si="18">+Z22</f>
        <v/>
      </c>
      <c r="AC22" s="119" t="str">
        <f t="shared" si="2"/>
        <v/>
      </c>
      <c r="AD22" s="117" t="str">
        <f>IFERROR(IF(AND(S21="Impacto",S22="Impacto"),(AD15-(+AD15*V22)),IF(S22="Impacto",($O$21-(+$O$21*V22)),IF(S22="Probabilidad",AD15,""))),"")</f>
        <v/>
      </c>
      <c r="AE22" s="120" t="str">
        <f t="shared" ref="AE22:AE23" si="19">IFERROR(IF(OR(AND(AA22="Muy Baja",AC22="Leve"),AND(AA22="Muy Baja",AC22="Menor"),AND(AA22="Baja",AC22="Leve")),"Bajo",IF(OR(AND(AA22="Muy baja",AC22="Moderado"),AND(AA22="Baja",AC22="Menor"),AND(AA22="Baja",AC22="Moderado"),AND(AA22="Media",AC22="Leve"),AND(AA22="Media",AC22="Menor"),AND(AA22="Media",AC22="Moderado"),AND(AA22="Alta",AC22="Leve"),AND(AA22="Alta",AC22="Menor")),"Moderado",IF(OR(AND(AA22="Muy Baja",AC22="Mayor"),AND(AA22="Baja",AC22="Mayor"),AND(AA22="Media",AC22="Mayor"),AND(AA22="Alta",AC22="Moderado"),AND(AA22="Alta",AC22="Mayor"),AND(AA22="Muy Alta",AC22="Leve"),AND(AA22="Muy Alta",AC22="Menor"),AND(AA22="Muy Alta",AC22="Moderado"),AND(AA22="Muy Alta",AC22="Mayor")),"Alto",IF(OR(AND(AA22="Muy Baja",AC22="Catastrófico"),AND(AA22="Baja",AC22="Catastrófico"),AND(AA22="Media",AC22="Catastrófico"),AND(AA22="Alta",AC22="Catastrófico"),AND(AA22="Muy Alta",AC22="Catastrófico")),"Extremo","")))),"")</f>
        <v/>
      </c>
      <c r="AF22" s="116"/>
      <c r="AG22" s="121"/>
      <c r="AH22" s="122"/>
      <c r="AI22" s="123"/>
      <c r="AJ22" s="123"/>
      <c r="AK22" s="121"/>
      <c r="AL22" s="122"/>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row>
    <row r="23" spans="1:70" ht="14.45" customHeight="1" x14ac:dyDescent="0.3">
      <c r="A23" s="209"/>
      <c r="B23" s="222"/>
      <c r="C23" s="222"/>
      <c r="D23" s="210"/>
      <c r="E23" s="200"/>
      <c r="F23" s="228"/>
      <c r="G23" s="210"/>
      <c r="H23" s="202"/>
      <c r="I23" s="211"/>
      <c r="J23" s="207"/>
      <c r="K23" s="206"/>
      <c r="L23" s="205"/>
      <c r="M23" s="206">
        <f t="shared" ca="1" si="16"/>
        <v>0</v>
      </c>
      <c r="N23" s="207"/>
      <c r="O23" s="206"/>
      <c r="P23" s="208"/>
      <c r="Q23" s="113">
        <v>3</v>
      </c>
      <c r="R23" s="126"/>
      <c r="S23" s="115" t="str">
        <f>IF(OR(T23="Preventivo",T23="Detectivo"),"Probabilidad",IF(T23="Correctivo","Impacto",""))</f>
        <v/>
      </c>
      <c r="T23" s="116"/>
      <c r="U23" s="116"/>
      <c r="V23" s="117" t="str">
        <f t="shared" si="17"/>
        <v/>
      </c>
      <c r="W23" s="116"/>
      <c r="X23" s="116"/>
      <c r="Y23" s="116"/>
      <c r="Z23" s="118" t="str">
        <f>IFERROR(IF(AND(S22="Probabilidad",S23="Probabilidad"),(AB22-(+AB22*V23)),IF(AND(S22="Impacto",S23="Probabilidad"),(AB21-(+AB21*V23)),IF(S23="Impacto",AB22,""))),"")</f>
        <v/>
      </c>
      <c r="AA23" s="119" t="str">
        <f t="shared" si="0"/>
        <v/>
      </c>
      <c r="AB23" s="117" t="str">
        <f t="shared" si="18"/>
        <v/>
      </c>
      <c r="AC23" s="119" t="str">
        <f t="shared" si="2"/>
        <v/>
      </c>
      <c r="AD23" s="117" t="str">
        <f>IFERROR(IF(AND(S22="Impacto",S23="Impacto"),(AD22-(+AD22*V23)),IF(AND(S22="Probabilidad",S23="Impacto"),(AD21-(+AD21*V23)),IF(S23="Probabilidad",AD22,""))),"")</f>
        <v/>
      </c>
      <c r="AE23" s="120" t="str">
        <f t="shared" si="19"/>
        <v/>
      </c>
      <c r="AF23" s="116"/>
      <c r="AG23" s="121"/>
      <c r="AH23" s="122"/>
      <c r="AI23" s="123"/>
      <c r="AJ23" s="123"/>
      <c r="AK23" s="121"/>
      <c r="AL23" s="122"/>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row>
    <row r="24" spans="1:70" ht="14.45" customHeight="1" x14ac:dyDescent="0.3">
      <c r="A24" s="209"/>
      <c r="B24" s="222"/>
      <c r="C24" s="222"/>
      <c r="D24" s="210"/>
      <c r="E24" s="200"/>
      <c r="F24" s="228"/>
      <c r="G24" s="210"/>
      <c r="H24" s="202"/>
      <c r="I24" s="211"/>
      <c r="J24" s="207"/>
      <c r="K24" s="206"/>
      <c r="L24" s="205"/>
      <c r="M24" s="206">
        <f t="shared" ca="1" si="16"/>
        <v>0</v>
      </c>
      <c r="N24" s="207"/>
      <c r="O24" s="206"/>
      <c r="P24" s="208"/>
      <c r="Q24" s="113">
        <v>4</v>
      </c>
      <c r="R24" s="114"/>
      <c r="S24" s="115" t="str">
        <f t="shared" ref="S24:S26" si="20">IF(OR(T24="Preventivo",T24="Detectivo"),"Probabilidad",IF(T24="Correctivo","Impacto",""))</f>
        <v/>
      </c>
      <c r="T24" s="116"/>
      <c r="U24" s="116"/>
      <c r="V24" s="117" t="str">
        <f t="shared" si="17"/>
        <v/>
      </c>
      <c r="W24" s="116"/>
      <c r="X24" s="116"/>
      <c r="Y24" s="116"/>
      <c r="Z24" s="118" t="str">
        <f t="shared" ref="Z24:Z26" si="21">IFERROR(IF(AND(S23="Probabilidad",S24="Probabilidad"),(AB23-(+AB23*V24)),IF(AND(S23="Impacto",S24="Probabilidad"),(AB22-(+AB22*V24)),IF(S24="Impacto",AB23,""))),"")</f>
        <v/>
      </c>
      <c r="AA24" s="119" t="str">
        <f t="shared" si="0"/>
        <v/>
      </c>
      <c r="AB24" s="117" t="str">
        <f t="shared" si="18"/>
        <v/>
      </c>
      <c r="AC24" s="119" t="str">
        <f t="shared" si="2"/>
        <v/>
      </c>
      <c r="AD24" s="117" t="str">
        <f t="shared" ref="AD24:AD26" si="22">IFERROR(IF(AND(S23="Impacto",S24="Impacto"),(AD23-(+AD23*V24)),IF(AND(S23="Probabilidad",S24="Impacto"),(AD22-(+AD22*V24)),IF(S24="Probabilidad",AD23,""))),"")</f>
        <v/>
      </c>
      <c r="AE24" s="120" t="str">
        <f>IFERROR(IF(OR(AND(AA24="Muy Baja",AC24="Leve"),AND(AA24="Muy Baja",AC24="Menor"),AND(AA24="Baja",AC24="Leve")),"Bajo",IF(OR(AND(AA24="Muy baja",AC24="Moderado"),AND(AA24="Baja",AC24="Menor"),AND(AA24="Baja",AC24="Moderado"),AND(AA24="Media",AC24="Leve"),AND(AA24="Media",AC24="Menor"),AND(AA24="Media",AC24="Moderado"),AND(AA24="Alta",AC24="Leve"),AND(AA24="Alta",AC24="Menor")),"Moderado",IF(OR(AND(AA24="Muy Baja",AC24="Mayor"),AND(AA24="Baja",AC24="Mayor"),AND(AA24="Media",AC24="Mayor"),AND(AA24="Alta",AC24="Moderado"),AND(AA24="Alta",AC24="Mayor"),AND(AA24="Muy Alta",AC24="Leve"),AND(AA24="Muy Alta",AC24="Menor"),AND(AA24="Muy Alta",AC24="Moderado"),AND(AA24="Muy Alta",AC24="Mayor")),"Alto",IF(OR(AND(AA24="Muy Baja",AC24="Catastrófico"),AND(AA24="Baja",AC24="Catastrófico"),AND(AA24="Media",AC24="Catastrófico"),AND(AA24="Alta",AC24="Catastrófico"),AND(AA24="Muy Alta",AC24="Catastrófico")),"Extremo","")))),"")</f>
        <v/>
      </c>
      <c r="AF24" s="116"/>
      <c r="AG24" s="121"/>
      <c r="AH24" s="122"/>
      <c r="AI24" s="123"/>
      <c r="AJ24" s="123"/>
      <c r="AK24" s="121"/>
      <c r="AL24" s="122"/>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row>
    <row r="25" spans="1:70" ht="14.45" customHeight="1" x14ac:dyDescent="0.3">
      <c r="A25" s="209"/>
      <c r="B25" s="222"/>
      <c r="C25" s="222"/>
      <c r="D25" s="210"/>
      <c r="E25" s="200"/>
      <c r="F25" s="228"/>
      <c r="G25" s="210"/>
      <c r="H25" s="202"/>
      <c r="I25" s="211"/>
      <c r="J25" s="207"/>
      <c r="K25" s="206"/>
      <c r="L25" s="205"/>
      <c r="M25" s="206">
        <f t="shared" ca="1" si="16"/>
        <v>0</v>
      </c>
      <c r="N25" s="207"/>
      <c r="O25" s="206"/>
      <c r="P25" s="208"/>
      <c r="Q25" s="113">
        <v>5</v>
      </c>
      <c r="R25" s="114"/>
      <c r="S25" s="115" t="str">
        <f t="shared" si="20"/>
        <v/>
      </c>
      <c r="T25" s="116"/>
      <c r="U25" s="116"/>
      <c r="V25" s="117" t="str">
        <f t="shared" si="17"/>
        <v/>
      </c>
      <c r="W25" s="116"/>
      <c r="X25" s="116"/>
      <c r="Y25" s="116"/>
      <c r="Z25" s="118" t="str">
        <f t="shared" si="21"/>
        <v/>
      </c>
      <c r="AA25" s="119" t="str">
        <f t="shared" si="0"/>
        <v/>
      </c>
      <c r="AB25" s="117" t="str">
        <f t="shared" si="18"/>
        <v/>
      </c>
      <c r="AC25" s="119" t="str">
        <f t="shared" si="2"/>
        <v/>
      </c>
      <c r="AD25" s="117" t="str">
        <f t="shared" si="22"/>
        <v/>
      </c>
      <c r="AE25" s="120" t="str">
        <f t="shared" ref="AE25:AE26" si="23">IFERROR(IF(OR(AND(AA25="Muy Baja",AC25="Leve"),AND(AA25="Muy Baja",AC25="Menor"),AND(AA25="Baja",AC25="Leve")),"Bajo",IF(OR(AND(AA25="Muy baja",AC25="Moderado"),AND(AA25="Baja",AC25="Menor"),AND(AA25="Baja",AC25="Moderado"),AND(AA25="Media",AC25="Leve"),AND(AA25="Media",AC25="Menor"),AND(AA25="Media",AC25="Moderado"),AND(AA25="Alta",AC25="Leve"),AND(AA25="Alta",AC25="Menor")),"Moderado",IF(OR(AND(AA25="Muy Baja",AC25="Mayor"),AND(AA25="Baja",AC25="Mayor"),AND(AA25="Media",AC25="Mayor"),AND(AA25="Alta",AC25="Moderado"),AND(AA25="Alta",AC25="Mayor"),AND(AA25="Muy Alta",AC25="Leve"),AND(AA25="Muy Alta",AC25="Menor"),AND(AA25="Muy Alta",AC25="Moderado"),AND(AA25="Muy Alta",AC25="Mayor")),"Alto",IF(OR(AND(AA25="Muy Baja",AC25="Catastrófico"),AND(AA25="Baja",AC25="Catastrófico"),AND(AA25="Media",AC25="Catastrófico"),AND(AA25="Alta",AC25="Catastrófico"),AND(AA25="Muy Alta",AC25="Catastrófico")),"Extremo","")))),"")</f>
        <v/>
      </c>
      <c r="AF25" s="116"/>
      <c r="AG25" s="121"/>
      <c r="AH25" s="122"/>
      <c r="AI25" s="123"/>
      <c r="AJ25" s="123"/>
      <c r="AK25" s="121"/>
      <c r="AL25" s="122"/>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row>
    <row r="26" spans="1:70" ht="14.45" customHeight="1" x14ac:dyDescent="0.3">
      <c r="A26" s="209"/>
      <c r="B26" s="223"/>
      <c r="C26" s="223"/>
      <c r="D26" s="210"/>
      <c r="E26" s="200"/>
      <c r="F26" s="229"/>
      <c r="G26" s="210"/>
      <c r="H26" s="203"/>
      <c r="I26" s="211"/>
      <c r="J26" s="207"/>
      <c r="K26" s="206"/>
      <c r="L26" s="205"/>
      <c r="M26" s="206">
        <f t="shared" ca="1" si="16"/>
        <v>0</v>
      </c>
      <c r="N26" s="207"/>
      <c r="O26" s="206"/>
      <c r="P26" s="208"/>
      <c r="Q26" s="113">
        <v>6</v>
      </c>
      <c r="R26" s="114"/>
      <c r="S26" s="115" t="str">
        <f t="shared" si="20"/>
        <v/>
      </c>
      <c r="T26" s="116"/>
      <c r="U26" s="116"/>
      <c r="V26" s="117" t="str">
        <f t="shared" si="17"/>
        <v/>
      </c>
      <c r="W26" s="116"/>
      <c r="X26" s="116"/>
      <c r="Y26" s="116"/>
      <c r="Z26" s="118" t="str">
        <f t="shared" si="21"/>
        <v/>
      </c>
      <c r="AA26" s="119" t="str">
        <f t="shared" si="0"/>
        <v/>
      </c>
      <c r="AB26" s="117" t="str">
        <f t="shared" si="18"/>
        <v/>
      </c>
      <c r="AC26" s="119" t="str">
        <f t="shared" si="2"/>
        <v/>
      </c>
      <c r="AD26" s="117" t="str">
        <f t="shared" si="22"/>
        <v/>
      </c>
      <c r="AE26" s="120" t="str">
        <f t="shared" si="23"/>
        <v/>
      </c>
      <c r="AF26" s="116"/>
      <c r="AG26" s="121"/>
      <c r="AH26" s="122"/>
      <c r="AI26" s="123"/>
      <c r="AJ26" s="123"/>
      <c r="AK26" s="121"/>
      <c r="AL26" s="122"/>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row>
    <row r="27" spans="1:70" x14ac:dyDescent="0.3">
      <c r="A27" s="209">
        <v>4</v>
      </c>
      <c r="B27" s="221"/>
      <c r="C27" s="221"/>
      <c r="D27" s="210"/>
      <c r="E27" s="200"/>
      <c r="F27" s="227"/>
      <c r="G27" s="210"/>
      <c r="H27" s="201" t="s">
        <v>210</v>
      </c>
      <c r="I27" s="211"/>
      <c r="J27" s="207" t="str">
        <f>IF(I27&lt;=0,"",IF(I27&lt;=2,"Muy Baja",IF(I27&lt;=24,"Baja",IF(I27&lt;=500,"Media",IF(I27&lt;=5000,"Alta","Muy Alta")))))</f>
        <v/>
      </c>
      <c r="K27" s="206" t="str">
        <f>IF(J27="","",IF(J27="Muy Baja",0.2,IF(J27="Baja",0.4,IF(J27="Media",0.6,IF(J27="Alta",0.8,IF(J27="Muy Alta",1,))))))</f>
        <v/>
      </c>
      <c r="L27" s="205"/>
      <c r="M27" s="206">
        <f ca="1">IF(NOT(ISERROR(MATCH(L27,'Tabla Impacto'!$B$221:$B$223,0))),'Tabla Impacto'!$F$223&amp;"Por favor no seleccionar los criterios de impacto(Afectación Económica o presupuestal y Pérdida Reputacional)",L27)</f>
        <v>0</v>
      </c>
      <c r="N27" s="207" t="str">
        <f ca="1">IF(OR(M27='Tabla Impacto'!$C$11,M27='Tabla Impacto'!$D$11),"Leve",IF(OR(M27='Tabla Impacto'!$C$12,M27='Tabla Impacto'!$D$12),"Menor",IF(OR(M27='Tabla Impacto'!$C$13,M27='Tabla Impacto'!$D$13),"Moderado",IF(OR(M27='Tabla Impacto'!$C$14,M27='Tabla Impacto'!$D$14),"Mayor",IF(OR(M27='Tabla Impacto'!$C$15,M27='Tabla Impacto'!$D$15),"Catastrófico","")))))</f>
        <v/>
      </c>
      <c r="O27" s="206" t="str">
        <f ca="1">IF(N27="","",IF(N27="Leve",0.2,IF(N27="Menor",0.4,IF(N27="Moderado",0.6,IF(N27="Mayor",0.8,IF(N27="Catastrófico",1,))))))</f>
        <v/>
      </c>
      <c r="P27" s="208" t="str">
        <f ca="1">IF(OR(AND(J27="Muy Baja",N27="Leve"),AND(J27="Muy Baja",N27="Menor"),AND(J27="Baja",N27="Leve")),"Bajo",IF(OR(AND(J27="Muy baja",N27="Moderado"),AND(J27="Baja",N27="Menor"),AND(J27="Baja",N27="Moderado"),AND(J27="Media",N27="Leve"),AND(J27="Media",N27="Menor"),AND(J27="Media",N27="Moderado"),AND(J27="Alta",N27="Leve"),AND(J27="Alta",N27="Menor")),"Moderado",IF(OR(AND(J27="Muy Baja",N27="Mayor"),AND(J27="Baja",N27="Mayor"),AND(J27="Media",N27="Mayor"),AND(J27="Alta",N27="Moderado"),AND(J27="Alta",N27="Mayor"),AND(J27="Muy Alta",N27="Leve"),AND(J27="Muy Alta",N27="Menor"),AND(J27="Muy Alta",N27="Moderado"),AND(J27="Muy Alta",N27="Mayor")),"Alto",IF(OR(AND(J27="Muy Baja",N27="Catastrófico"),AND(J27="Baja",N27="Catastrófico"),AND(J27="Media",N27="Catastrófico"),AND(J27="Alta",N27="Catastrófico"),AND(J27="Muy Alta",N27="Catastrófico")),"Extremo",""))))</f>
        <v/>
      </c>
      <c r="Q27" s="113">
        <v>1</v>
      </c>
      <c r="R27" s="114"/>
      <c r="S27" s="115" t="str">
        <f>IF(OR(T27="Preventivo",T27="Detectivo"),"Probabilidad",IF(T27="Correctivo","Impacto",""))</f>
        <v/>
      </c>
      <c r="T27" s="116"/>
      <c r="U27" s="116"/>
      <c r="V27" s="117" t="str">
        <f>IF(AND(T27="Preventivo",U27="Automático"),"50%",IF(AND(T27="Preventivo",U27="Manual"),"40%",IF(AND(T27="Detectivo",U27="Automático"),"40%",IF(AND(T27="Detectivo",U27="Manual"),"30%",IF(AND(T27="Correctivo",U27="Automático"),"35%",IF(AND(T27="Correctivo",U27="Manual"),"25%",""))))))</f>
        <v/>
      </c>
      <c r="W27" s="116"/>
      <c r="X27" s="116"/>
      <c r="Y27" s="116"/>
      <c r="Z27" s="118" t="str">
        <f>IFERROR(IF(S27="Probabilidad",(K27-(+K27*V27)),IF(S27="Impacto",K27,"")),"")</f>
        <v/>
      </c>
      <c r="AA27" s="119" t="str">
        <f>IFERROR(IF(Z27="","",IF(Z27&lt;=0.2,"Muy Baja",IF(Z27&lt;=0.4,"Baja",IF(Z27&lt;=0.6,"Media",IF(Z27&lt;=0.8,"Alta","Muy Alta"))))),"")</f>
        <v/>
      </c>
      <c r="AB27" s="117" t="str">
        <f>+Z27</f>
        <v/>
      </c>
      <c r="AC27" s="119" t="str">
        <f>IFERROR(IF(AD27="","",IF(AD27&lt;=0.2,"Leve",IF(AD27&lt;=0.4,"Menor",IF(AD27&lt;=0.6,"Moderado",IF(AD27&lt;=0.8,"Mayor","Catastrófico"))))),"")</f>
        <v/>
      </c>
      <c r="AD27" s="117" t="str">
        <f>IFERROR(IF(S27="Impacto",(O27-(+O27*V27)),IF(S27="Probabilidad",O27,"")),"")</f>
        <v/>
      </c>
      <c r="AE27" s="120" t="str">
        <f>IFERROR(IF(OR(AND(AA27="Muy Baja",AC27="Leve"),AND(AA27="Muy Baja",AC27="Menor"),AND(AA27="Baja",AC27="Leve")),"Bajo",IF(OR(AND(AA27="Muy baja",AC27="Moderado"),AND(AA27="Baja",AC27="Menor"),AND(AA27="Baja",AC27="Moderado"),AND(AA27="Media",AC27="Leve"),AND(AA27="Media",AC27="Menor"),AND(AA27="Media",AC27="Moderado"),AND(AA27="Alta",AC27="Leve"),AND(AA27="Alta",AC27="Menor")),"Moderado",IF(OR(AND(AA27="Muy Baja",AC27="Mayor"),AND(AA27="Baja",AC27="Mayor"),AND(AA27="Media",AC27="Mayor"),AND(AA27="Alta",AC27="Moderado"),AND(AA27="Alta",AC27="Mayor"),AND(AA27="Muy Alta",AC27="Leve"),AND(AA27="Muy Alta",AC27="Menor"),AND(AA27="Muy Alta",AC27="Moderado"),AND(AA27="Muy Alta",AC27="Mayor")),"Alto",IF(OR(AND(AA27="Muy Baja",AC27="Catastrófico"),AND(AA27="Baja",AC27="Catastrófico"),AND(AA27="Media",AC27="Catastrófico"),AND(AA27="Alta",AC27="Catastrófico"),AND(AA27="Muy Alta",AC27="Catastrófico")),"Extremo","")))),"")</f>
        <v/>
      </c>
      <c r="AF27" s="116"/>
      <c r="AG27" s="121"/>
      <c r="AH27" s="122"/>
      <c r="AI27" s="123"/>
      <c r="AJ27" s="123"/>
      <c r="AK27" s="121"/>
      <c r="AL27" s="122"/>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row>
    <row r="28" spans="1:70" ht="14.45" customHeight="1" x14ac:dyDescent="0.3">
      <c r="A28" s="209"/>
      <c r="B28" s="222"/>
      <c r="C28" s="222"/>
      <c r="D28" s="210"/>
      <c r="E28" s="200"/>
      <c r="F28" s="228"/>
      <c r="G28" s="210"/>
      <c r="H28" s="202"/>
      <c r="I28" s="211"/>
      <c r="J28" s="207"/>
      <c r="K28" s="206"/>
      <c r="L28" s="205"/>
      <c r="M28" s="206">
        <f t="shared" ref="M28:M32" ca="1" si="24">IF(NOT(ISERROR(MATCH(L28,_xlfn.ANCHORARRAY(E39),0))),K41&amp;"Por favor no seleccionar los criterios de impacto",L28)</f>
        <v>0</v>
      </c>
      <c r="N28" s="207"/>
      <c r="O28" s="206"/>
      <c r="P28" s="208"/>
      <c r="Q28" s="113">
        <v>2</v>
      </c>
      <c r="R28" s="114"/>
      <c r="S28" s="115" t="str">
        <f>IF(OR(T28="Preventivo",T28="Detectivo"),"Probabilidad",IF(T28="Correctivo","Impacto",""))</f>
        <v/>
      </c>
      <c r="T28" s="116"/>
      <c r="U28" s="116"/>
      <c r="V28" s="117" t="str">
        <f t="shared" ref="V28:V32" si="25">IF(AND(T28="Preventivo",U28="Automático"),"50%",IF(AND(T28="Preventivo",U28="Manual"),"40%",IF(AND(T28="Detectivo",U28="Automático"),"40%",IF(AND(T28="Detectivo",U28="Manual"),"30%",IF(AND(T28="Correctivo",U28="Automático"),"35%",IF(AND(T28="Correctivo",U28="Manual"),"25%",""))))))</f>
        <v/>
      </c>
      <c r="W28" s="116"/>
      <c r="X28" s="116"/>
      <c r="Y28" s="116"/>
      <c r="Z28" s="118" t="str">
        <f>IFERROR(IF(AND(S27="Probabilidad",S28="Probabilidad"),(AB27-(+AB27*V28)),IF(S28="Probabilidad",(K27-(+K27*V28)),IF(S28="Impacto",AB27,""))),"")</f>
        <v/>
      </c>
      <c r="AA28" s="119" t="str">
        <f t="shared" si="0"/>
        <v/>
      </c>
      <c r="AB28" s="117" t="str">
        <f t="shared" ref="AB28:AB32" si="26">+Z28</f>
        <v/>
      </c>
      <c r="AC28" s="119" t="str">
        <f t="shared" si="2"/>
        <v/>
      </c>
      <c r="AD28" s="117" t="str">
        <f>IFERROR(IF(AND(S27="Impacto",S28="Impacto"),(AD21-(+AD21*V28)),IF(S28="Impacto",($O$27-(+$O$27*V28)),IF(S28="Probabilidad",AD21,""))),"")</f>
        <v/>
      </c>
      <c r="AE28" s="120" t="str">
        <f t="shared" ref="AE28:AE29" si="27">IFERROR(IF(OR(AND(AA28="Muy Baja",AC28="Leve"),AND(AA28="Muy Baja",AC28="Menor"),AND(AA28="Baja",AC28="Leve")),"Bajo",IF(OR(AND(AA28="Muy baja",AC28="Moderado"),AND(AA28="Baja",AC28="Menor"),AND(AA28="Baja",AC28="Moderado"),AND(AA28="Media",AC28="Leve"),AND(AA28="Media",AC28="Menor"),AND(AA28="Media",AC28="Moderado"),AND(AA28="Alta",AC28="Leve"),AND(AA28="Alta",AC28="Menor")),"Moderado",IF(OR(AND(AA28="Muy Baja",AC28="Mayor"),AND(AA28="Baja",AC28="Mayor"),AND(AA28="Media",AC28="Mayor"),AND(AA28="Alta",AC28="Moderado"),AND(AA28="Alta",AC28="Mayor"),AND(AA28="Muy Alta",AC28="Leve"),AND(AA28="Muy Alta",AC28="Menor"),AND(AA28="Muy Alta",AC28="Moderado"),AND(AA28="Muy Alta",AC28="Mayor")),"Alto",IF(OR(AND(AA28="Muy Baja",AC28="Catastrófico"),AND(AA28="Baja",AC28="Catastrófico"),AND(AA28="Media",AC28="Catastrófico"),AND(AA28="Alta",AC28="Catastrófico"),AND(AA28="Muy Alta",AC28="Catastrófico")),"Extremo","")))),"")</f>
        <v/>
      </c>
      <c r="AF28" s="116"/>
      <c r="AG28" s="121"/>
      <c r="AH28" s="122"/>
      <c r="AI28" s="123"/>
      <c r="AJ28" s="123"/>
      <c r="AK28" s="121"/>
      <c r="AL28" s="122"/>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row>
    <row r="29" spans="1:70" ht="14.45" customHeight="1" x14ac:dyDescent="0.3">
      <c r="A29" s="209"/>
      <c r="B29" s="222"/>
      <c r="C29" s="222"/>
      <c r="D29" s="210"/>
      <c r="E29" s="200"/>
      <c r="F29" s="228"/>
      <c r="G29" s="210"/>
      <c r="H29" s="202"/>
      <c r="I29" s="211"/>
      <c r="J29" s="207"/>
      <c r="K29" s="206"/>
      <c r="L29" s="205"/>
      <c r="M29" s="206">
        <f t="shared" ca="1" si="24"/>
        <v>0</v>
      </c>
      <c r="N29" s="207"/>
      <c r="O29" s="206"/>
      <c r="P29" s="208"/>
      <c r="Q29" s="113">
        <v>3</v>
      </c>
      <c r="R29" s="126"/>
      <c r="S29" s="115" t="str">
        <f>IF(OR(T29="Preventivo",T29="Detectivo"),"Probabilidad",IF(T29="Correctivo","Impacto",""))</f>
        <v/>
      </c>
      <c r="T29" s="116"/>
      <c r="U29" s="116"/>
      <c r="V29" s="117" t="str">
        <f t="shared" si="25"/>
        <v/>
      </c>
      <c r="W29" s="116"/>
      <c r="X29" s="116"/>
      <c r="Y29" s="116"/>
      <c r="Z29" s="118" t="str">
        <f>IFERROR(IF(AND(S28="Probabilidad",S29="Probabilidad"),(AB28-(+AB28*V29)),IF(AND(S28="Impacto",S29="Probabilidad"),(AB27-(+AB27*V29)),IF(S29="Impacto",AB28,""))),"")</f>
        <v/>
      </c>
      <c r="AA29" s="119" t="str">
        <f t="shared" si="0"/>
        <v/>
      </c>
      <c r="AB29" s="117" t="str">
        <f t="shared" si="26"/>
        <v/>
      </c>
      <c r="AC29" s="119" t="str">
        <f t="shared" si="2"/>
        <v/>
      </c>
      <c r="AD29" s="117" t="str">
        <f>IFERROR(IF(AND(S28="Impacto",S29="Impacto"),(AD28-(+AD28*V29)),IF(AND(S28="Probabilidad",S29="Impacto"),(AD27-(+AD27*V29)),IF(S29="Probabilidad",AD28,""))),"")</f>
        <v/>
      </c>
      <c r="AE29" s="120" t="str">
        <f t="shared" si="27"/>
        <v/>
      </c>
      <c r="AF29" s="116"/>
      <c r="AG29" s="121"/>
      <c r="AH29" s="122"/>
      <c r="AI29" s="123"/>
      <c r="AJ29" s="123"/>
      <c r="AK29" s="121"/>
      <c r="AL29" s="122"/>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row>
    <row r="30" spans="1:70" ht="14.45" customHeight="1" x14ac:dyDescent="0.3">
      <c r="A30" s="209"/>
      <c r="B30" s="222"/>
      <c r="C30" s="222"/>
      <c r="D30" s="210"/>
      <c r="E30" s="200"/>
      <c r="F30" s="228"/>
      <c r="G30" s="210"/>
      <c r="H30" s="202"/>
      <c r="I30" s="211"/>
      <c r="J30" s="207"/>
      <c r="K30" s="206"/>
      <c r="L30" s="205"/>
      <c r="M30" s="206">
        <f t="shared" ca="1" si="24"/>
        <v>0</v>
      </c>
      <c r="N30" s="207"/>
      <c r="O30" s="206"/>
      <c r="P30" s="208"/>
      <c r="Q30" s="113">
        <v>4</v>
      </c>
      <c r="R30" s="114"/>
      <c r="S30" s="115" t="str">
        <f t="shared" ref="S30:S32" si="28">IF(OR(T30="Preventivo",T30="Detectivo"),"Probabilidad",IF(T30="Correctivo","Impacto",""))</f>
        <v/>
      </c>
      <c r="T30" s="116"/>
      <c r="U30" s="116"/>
      <c r="V30" s="117" t="str">
        <f t="shared" si="25"/>
        <v/>
      </c>
      <c r="W30" s="116"/>
      <c r="X30" s="116"/>
      <c r="Y30" s="116"/>
      <c r="Z30" s="118" t="str">
        <f t="shared" ref="Z30:Z32" si="29">IFERROR(IF(AND(S29="Probabilidad",S30="Probabilidad"),(AB29-(+AB29*V30)),IF(AND(S29="Impacto",S30="Probabilidad"),(AB28-(+AB28*V30)),IF(S30="Impacto",AB29,""))),"")</f>
        <v/>
      </c>
      <c r="AA30" s="119" t="str">
        <f t="shared" si="0"/>
        <v/>
      </c>
      <c r="AB30" s="117" t="str">
        <f t="shared" si="26"/>
        <v/>
      </c>
      <c r="AC30" s="119" t="str">
        <f t="shared" si="2"/>
        <v/>
      </c>
      <c r="AD30" s="117" t="str">
        <f t="shared" ref="AD30:AD32" si="30">IFERROR(IF(AND(S29="Impacto",S30="Impacto"),(AD29-(+AD29*V30)),IF(AND(S29="Probabilidad",S30="Impacto"),(AD28-(+AD28*V30)),IF(S30="Probabilidad",AD29,""))),"")</f>
        <v/>
      </c>
      <c r="AE30" s="120" t="str">
        <f>IFERROR(IF(OR(AND(AA30="Muy Baja",AC30="Leve"),AND(AA30="Muy Baja",AC30="Menor"),AND(AA30="Baja",AC30="Leve")),"Bajo",IF(OR(AND(AA30="Muy baja",AC30="Moderado"),AND(AA30="Baja",AC30="Menor"),AND(AA30="Baja",AC30="Moderado"),AND(AA30="Media",AC30="Leve"),AND(AA30="Media",AC30="Menor"),AND(AA30="Media",AC30="Moderado"),AND(AA30="Alta",AC30="Leve"),AND(AA30="Alta",AC30="Menor")),"Moderado",IF(OR(AND(AA30="Muy Baja",AC30="Mayor"),AND(AA30="Baja",AC30="Mayor"),AND(AA30="Media",AC30="Mayor"),AND(AA30="Alta",AC30="Moderado"),AND(AA30="Alta",AC30="Mayor"),AND(AA30="Muy Alta",AC30="Leve"),AND(AA30="Muy Alta",AC30="Menor"),AND(AA30="Muy Alta",AC30="Moderado"),AND(AA30="Muy Alta",AC30="Mayor")),"Alto",IF(OR(AND(AA30="Muy Baja",AC30="Catastrófico"),AND(AA30="Baja",AC30="Catastrófico"),AND(AA30="Media",AC30="Catastrófico"),AND(AA30="Alta",AC30="Catastrófico"),AND(AA30="Muy Alta",AC30="Catastrófico")),"Extremo","")))),"")</f>
        <v/>
      </c>
      <c r="AF30" s="116"/>
      <c r="AG30" s="121"/>
      <c r="AH30" s="122"/>
      <c r="AI30" s="123"/>
      <c r="AJ30" s="123"/>
      <c r="AK30" s="121"/>
      <c r="AL30" s="122"/>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row>
    <row r="31" spans="1:70" ht="14.45" customHeight="1" x14ac:dyDescent="0.3">
      <c r="A31" s="209"/>
      <c r="B31" s="222"/>
      <c r="C31" s="222"/>
      <c r="D31" s="210"/>
      <c r="E31" s="200"/>
      <c r="F31" s="228"/>
      <c r="G31" s="210"/>
      <c r="H31" s="202"/>
      <c r="I31" s="211"/>
      <c r="J31" s="207"/>
      <c r="K31" s="206"/>
      <c r="L31" s="205"/>
      <c r="M31" s="206">
        <f t="shared" ca="1" si="24"/>
        <v>0</v>
      </c>
      <c r="N31" s="207"/>
      <c r="O31" s="206"/>
      <c r="P31" s="208"/>
      <c r="Q31" s="113">
        <v>5</v>
      </c>
      <c r="R31" s="114"/>
      <c r="S31" s="115" t="str">
        <f t="shared" si="28"/>
        <v/>
      </c>
      <c r="T31" s="116"/>
      <c r="U31" s="116"/>
      <c r="V31" s="117" t="str">
        <f t="shared" si="25"/>
        <v/>
      </c>
      <c r="W31" s="116"/>
      <c r="X31" s="116"/>
      <c r="Y31" s="116"/>
      <c r="Z31" s="127" t="str">
        <f t="shared" si="29"/>
        <v/>
      </c>
      <c r="AA31" s="119" t="str">
        <f>IFERROR(IF(Z31="","",IF(Z31&lt;=0.2,"Muy Baja",IF(Z31&lt;=0.4,"Baja",IF(Z31&lt;=0.6,"Media",IF(Z31&lt;=0.8,"Alta","Muy Alta"))))),"")</f>
        <v/>
      </c>
      <c r="AB31" s="117" t="str">
        <f t="shared" si="26"/>
        <v/>
      </c>
      <c r="AC31" s="119" t="str">
        <f t="shared" si="2"/>
        <v/>
      </c>
      <c r="AD31" s="117" t="str">
        <f t="shared" si="30"/>
        <v/>
      </c>
      <c r="AE31" s="120" t="str">
        <f t="shared" ref="AE31:AE32" si="31">IFERROR(IF(OR(AND(AA31="Muy Baja",AC31="Leve"),AND(AA31="Muy Baja",AC31="Menor"),AND(AA31="Baja",AC31="Leve")),"Bajo",IF(OR(AND(AA31="Muy baja",AC31="Moderado"),AND(AA31="Baja",AC31="Menor"),AND(AA31="Baja",AC31="Moderado"),AND(AA31="Media",AC31="Leve"),AND(AA31="Media",AC31="Menor"),AND(AA31="Media",AC31="Moderado"),AND(AA31="Alta",AC31="Leve"),AND(AA31="Alta",AC31="Menor")),"Moderado",IF(OR(AND(AA31="Muy Baja",AC31="Mayor"),AND(AA31="Baja",AC31="Mayor"),AND(AA31="Media",AC31="Mayor"),AND(AA31="Alta",AC31="Moderado"),AND(AA31="Alta",AC31="Mayor"),AND(AA31="Muy Alta",AC31="Leve"),AND(AA31="Muy Alta",AC31="Menor"),AND(AA31="Muy Alta",AC31="Moderado"),AND(AA31="Muy Alta",AC31="Mayor")),"Alto",IF(OR(AND(AA31="Muy Baja",AC31="Catastrófico"),AND(AA31="Baja",AC31="Catastrófico"),AND(AA31="Media",AC31="Catastrófico"),AND(AA31="Alta",AC31="Catastrófico"),AND(AA31="Muy Alta",AC31="Catastrófico")),"Extremo","")))),"")</f>
        <v/>
      </c>
      <c r="AF31" s="116"/>
      <c r="AG31" s="121"/>
      <c r="AH31" s="122"/>
      <c r="AI31" s="123"/>
      <c r="AJ31" s="123"/>
      <c r="AK31" s="121"/>
      <c r="AL31" s="122"/>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row>
    <row r="32" spans="1:70" ht="14.45" customHeight="1" x14ac:dyDescent="0.3">
      <c r="A32" s="209"/>
      <c r="B32" s="223"/>
      <c r="C32" s="223"/>
      <c r="D32" s="210"/>
      <c r="E32" s="200"/>
      <c r="F32" s="229"/>
      <c r="G32" s="210"/>
      <c r="H32" s="203"/>
      <c r="I32" s="211"/>
      <c r="J32" s="207"/>
      <c r="K32" s="206"/>
      <c r="L32" s="205"/>
      <c r="M32" s="206">
        <f t="shared" ca="1" si="24"/>
        <v>0</v>
      </c>
      <c r="N32" s="207"/>
      <c r="O32" s="206"/>
      <c r="P32" s="208"/>
      <c r="Q32" s="113">
        <v>6</v>
      </c>
      <c r="R32" s="114"/>
      <c r="S32" s="115" t="str">
        <f t="shared" si="28"/>
        <v/>
      </c>
      <c r="T32" s="116"/>
      <c r="U32" s="116"/>
      <c r="V32" s="117" t="str">
        <f t="shared" si="25"/>
        <v/>
      </c>
      <c r="W32" s="116"/>
      <c r="X32" s="116"/>
      <c r="Y32" s="116"/>
      <c r="Z32" s="118" t="str">
        <f t="shared" si="29"/>
        <v/>
      </c>
      <c r="AA32" s="119" t="str">
        <f t="shared" si="0"/>
        <v/>
      </c>
      <c r="AB32" s="117" t="str">
        <f t="shared" si="26"/>
        <v/>
      </c>
      <c r="AC32" s="119" t="str">
        <f t="shared" si="2"/>
        <v/>
      </c>
      <c r="AD32" s="117" t="str">
        <f t="shared" si="30"/>
        <v/>
      </c>
      <c r="AE32" s="120" t="str">
        <f t="shared" si="31"/>
        <v/>
      </c>
      <c r="AF32" s="116"/>
      <c r="AG32" s="121"/>
      <c r="AH32" s="122"/>
      <c r="AI32" s="123"/>
      <c r="AJ32" s="123"/>
      <c r="AK32" s="121"/>
      <c r="AL32" s="122"/>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row>
    <row r="33" spans="1:70" x14ac:dyDescent="0.3">
      <c r="A33" s="209">
        <v>5</v>
      </c>
      <c r="B33" s="139"/>
      <c r="C33" s="139"/>
      <c r="D33" s="210"/>
      <c r="E33" s="200"/>
      <c r="F33" s="141"/>
      <c r="G33" s="210"/>
      <c r="H33" s="140"/>
      <c r="I33" s="211"/>
      <c r="J33" s="207" t="str">
        <f>IF(I33&lt;=0,"",IF(I33&lt;=2,"Muy Baja",IF(I33&lt;=24,"Baja",IF(I33&lt;=500,"Media",IF(I33&lt;=5000,"Alta","Muy Alta")))))</f>
        <v/>
      </c>
      <c r="K33" s="206" t="str">
        <f>IF(J33="","",IF(J33="Muy Baja",0.2,IF(J33="Baja",0.4,IF(J33="Media",0.6,IF(J33="Alta",0.8,IF(J33="Muy Alta",1,))))))</f>
        <v/>
      </c>
      <c r="L33" s="205"/>
      <c r="M33" s="206">
        <f ca="1">IF(NOT(ISERROR(MATCH(L33,'Tabla Impacto'!$B$221:$B$223,0))),'Tabla Impacto'!$F$223&amp;"Por favor no seleccionar los criterios de impacto(Afectación Económica o presupuestal y Pérdida Reputacional)",L33)</f>
        <v>0</v>
      </c>
      <c r="N33" s="207" t="str">
        <f ca="1">IF(OR(M33='Tabla Impacto'!$C$11,M33='Tabla Impacto'!$D$11),"Leve",IF(OR(M33='Tabla Impacto'!$C$12,M33='Tabla Impacto'!$D$12),"Menor",IF(OR(M33='Tabla Impacto'!$C$13,M33='Tabla Impacto'!$D$13),"Moderado",IF(OR(M33='Tabla Impacto'!$C$14,M33='Tabla Impacto'!$D$14),"Mayor",IF(OR(M33='Tabla Impacto'!$C$15,M33='Tabla Impacto'!$D$15),"Catastrófico","")))))</f>
        <v/>
      </c>
      <c r="O33" s="206" t="str">
        <f ca="1">IF(N33="","",IF(N33="Leve",0.2,IF(N33="Menor",0.4,IF(N33="Moderado",0.6,IF(N33="Mayor",0.8,IF(N33="Catastrófico",1,))))))</f>
        <v/>
      </c>
      <c r="P33" s="208" t="str">
        <f ca="1">IF(OR(AND(J33="Muy Baja",N33="Leve"),AND(J33="Muy Baja",N33="Menor"),AND(J33="Baja",N33="Leve")),"Bajo",IF(OR(AND(J33="Muy baja",N33="Moderado"),AND(J33="Baja",N33="Menor"),AND(J33="Baja",N33="Moderado"),AND(J33="Media",N33="Leve"),AND(J33="Media",N33="Menor"),AND(J33="Media",N33="Moderado"),AND(J33="Alta",N33="Leve"),AND(J33="Alta",N33="Menor")),"Moderado",IF(OR(AND(J33="Muy Baja",N33="Mayor"),AND(J33="Baja",N33="Mayor"),AND(J33="Media",N33="Mayor"),AND(J33="Alta",N33="Moderado"),AND(J33="Alta",N33="Mayor"),AND(J33="Muy Alta",N33="Leve"),AND(J33="Muy Alta",N33="Menor"),AND(J33="Muy Alta",N33="Moderado"),AND(J33="Muy Alta",N33="Mayor")),"Alto",IF(OR(AND(J33="Muy Baja",N33="Catastrófico"),AND(J33="Baja",N33="Catastrófico"),AND(J33="Media",N33="Catastrófico"),AND(J33="Alta",N33="Catastrófico"),AND(J33="Muy Alta",N33="Catastrófico")),"Extremo",""))))</f>
        <v/>
      </c>
      <c r="Q33" s="113">
        <v>1</v>
      </c>
      <c r="R33" s="114"/>
      <c r="S33" s="115" t="str">
        <f>IF(OR(T33="Preventivo",T33="Detectivo"),"Probabilidad",IF(T33="Correctivo","Impacto",""))</f>
        <v/>
      </c>
      <c r="T33" s="116"/>
      <c r="U33" s="116"/>
      <c r="V33" s="117" t="str">
        <f>IF(AND(T33="Preventivo",U33="Automático"),"50%",IF(AND(T33="Preventivo",U33="Manual"),"40%",IF(AND(T33="Detectivo",U33="Automático"),"40%",IF(AND(T33="Detectivo",U33="Manual"),"30%",IF(AND(T33="Correctivo",U33="Automático"),"35%",IF(AND(T33="Correctivo",U33="Manual"),"25%",""))))))</f>
        <v/>
      </c>
      <c r="W33" s="116"/>
      <c r="X33" s="116"/>
      <c r="Y33" s="116"/>
      <c r="Z33" s="118" t="str">
        <f>IFERROR(IF(S33="Probabilidad",(K33-(+K33*V33)),IF(S33="Impacto",K33,"")),"")</f>
        <v/>
      </c>
      <c r="AA33" s="119" t="str">
        <f>IFERROR(IF(Z33="","",IF(Z33&lt;=0.2,"Muy Baja",IF(Z33&lt;=0.4,"Baja",IF(Z33&lt;=0.6,"Media",IF(Z33&lt;=0.8,"Alta","Muy Alta"))))),"")</f>
        <v/>
      </c>
      <c r="AB33" s="117" t="str">
        <f>+Z33</f>
        <v/>
      </c>
      <c r="AC33" s="119" t="str">
        <f>IFERROR(IF(AD33="","",IF(AD33&lt;=0.2,"Leve",IF(AD33&lt;=0.4,"Menor",IF(AD33&lt;=0.6,"Moderado",IF(AD33&lt;=0.8,"Mayor","Catastrófico"))))),"")</f>
        <v/>
      </c>
      <c r="AD33" s="117" t="str">
        <f>IFERROR(IF(S33="Impacto",(O33-(+O33*V33)),IF(S33="Probabilidad",O33,"")),"")</f>
        <v/>
      </c>
      <c r="AE33" s="120" t="str">
        <f>IFERROR(IF(OR(AND(AA33="Muy Baja",AC33="Leve"),AND(AA33="Muy Baja",AC33="Menor"),AND(AA33="Baja",AC33="Leve")),"Bajo",IF(OR(AND(AA33="Muy baja",AC33="Moderado"),AND(AA33="Baja",AC33="Menor"),AND(AA33="Baja",AC33="Moderado"),AND(AA33="Media",AC33="Leve"),AND(AA33="Media",AC33="Menor"),AND(AA33="Media",AC33="Moderado"),AND(AA33="Alta",AC33="Leve"),AND(AA33="Alta",AC33="Menor")),"Moderado",IF(OR(AND(AA33="Muy Baja",AC33="Mayor"),AND(AA33="Baja",AC33="Mayor"),AND(AA33="Media",AC33="Mayor"),AND(AA33="Alta",AC33="Moderado"),AND(AA33="Alta",AC33="Mayor"),AND(AA33="Muy Alta",AC33="Leve"),AND(AA33="Muy Alta",AC33="Menor"),AND(AA33="Muy Alta",AC33="Moderado"),AND(AA33="Muy Alta",AC33="Mayor")),"Alto",IF(OR(AND(AA33="Muy Baja",AC33="Catastrófico"),AND(AA33="Baja",AC33="Catastrófico"),AND(AA33="Media",AC33="Catastrófico"),AND(AA33="Alta",AC33="Catastrófico"),AND(AA33="Muy Alta",AC33="Catastrófico")),"Extremo","")))),"")</f>
        <v/>
      </c>
      <c r="AF33" s="116"/>
      <c r="AG33" s="121"/>
      <c r="AH33" s="122"/>
      <c r="AI33" s="123"/>
      <c r="AJ33" s="123"/>
      <c r="AK33" s="121"/>
      <c r="AL33" s="122"/>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row>
    <row r="34" spans="1:70" x14ac:dyDescent="0.3">
      <c r="A34" s="209"/>
      <c r="B34" s="139"/>
      <c r="C34" s="139"/>
      <c r="D34" s="210"/>
      <c r="E34" s="200"/>
      <c r="F34" s="141"/>
      <c r="G34" s="210"/>
      <c r="H34" s="140"/>
      <c r="I34" s="211"/>
      <c r="J34" s="207"/>
      <c r="K34" s="206"/>
      <c r="L34" s="205"/>
      <c r="M34" s="206">
        <f t="shared" ref="M34:M38" ca="1" si="32">IF(NOT(ISERROR(MATCH(L34,_xlfn.ANCHORARRAY(E45),0))),K47&amp;"Por favor no seleccionar los criterios de impacto",L34)</f>
        <v>0</v>
      </c>
      <c r="N34" s="207"/>
      <c r="O34" s="206"/>
      <c r="P34" s="208"/>
      <c r="Q34" s="113">
        <v>2</v>
      </c>
      <c r="R34" s="114"/>
      <c r="S34" s="115" t="str">
        <f>IF(OR(T34="Preventivo",T34="Detectivo"),"Probabilidad",IF(T34="Correctivo","Impacto",""))</f>
        <v/>
      </c>
      <c r="T34" s="116"/>
      <c r="U34" s="116"/>
      <c r="V34" s="117" t="str">
        <f t="shared" ref="V34:V38" si="33">IF(AND(T34="Preventivo",U34="Automático"),"50%",IF(AND(T34="Preventivo",U34="Manual"),"40%",IF(AND(T34="Detectivo",U34="Automático"),"40%",IF(AND(T34="Detectivo",U34="Manual"),"30%",IF(AND(T34="Correctivo",U34="Automático"),"35%",IF(AND(T34="Correctivo",U34="Manual"),"25%",""))))))</f>
        <v/>
      </c>
      <c r="W34" s="116"/>
      <c r="X34" s="116"/>
      <c r="Y34" s="116"/>
      <c r="Z34" s="118" t="str">
        <f>IFERROR(IF(AND(S33="Probabilidad",S34="Probabilidad"),(AB33-(+AB33*V34)),IF(S34="Probabilidad",(K33-(+K33*V34)),IF(S34="Impacto",AB33,""))),"")</f>
        <v/>
      </c>
      <c r="AA34" s="119" t="str">
        <f t="shared" si="0"/>
        <v/>
      </c>
      <c r="AB34" s="117" t="str">
        <f t="shared" ref="AB34:AB38" si="34">+Z34</f>
        <v/>
      </c>
      <c r="AC34" s="119" t="str">
        <f t="shared" si="2"/>
        <v/>
      </c>
      <c r="AD34" s="117" t="str">
        <f>IFERROR(IF(AND(S33="Impacto",S34="Impacto"),(AD27-(+AD27*V34)),IF(S34="Impacto",($O$33-(+$O$33*V34)),IF(S34="Probabilidad",AD27,""))),"")</f>
        <v/>
      </c>
      <c r="AE34" s="120" t="str">
        <f t="shared" ref="AE34:AE35" si="35">IFERROR(IF(OR(AND(AA34="Muy Baja",AC34="Leve"),AND(AA34="Muy Baja",AC34="Menor"),AND(AA34="Baja",AC34="Leve")),"Bajo",IF(OR(AND(AA34="Muy baja",AC34="Moderado"),AND(AA34="Baja",AC34="Menor"),AND(AA34="Baja",AC34="Moderado"),AND(AA34="Media",AC34="Leve"),AND(AA34="Media",AC34="Menor"),AND(AA34="Media",AC34="Moderado"),AND(AA34="Alta",AC34="Leve"),AND(AA34="Alta",AC34="Menor")),"Moderado",IF(OR(AND(AA34="Muy Baja",AC34="Mayor"),AND(AA34="Baja",AC34="Mayor"),AND(AA34="Media",AC34="Mayor"),AND(AA34="Alta",AC34="Moderado"),AND(AA34="Alta",AC34="Mayor"),AND(AA34="Muy Alta",AC34="Leve"),AND(AA34="Muy Alta",AC34="Menor"),AND(AA34="Muy Alta",AC34="Moderado"),AND(AA34="Muy Alta",AC34="Mayor")),"Alto",IF(OR(AND(AA34="Muy Baja",AC34="Catastrófico"),AND(AA34="Baja",AC34="Catastrófico"),AND(AA34="Media",AC34="Catastrófico"),AND(AA34="Alta",AC34="Catastrófico"),AND(AA34="Muy Alta",AC34="Catastrófico")),"Extremo","")))),"")</f>
        <v/>
      </c>
      <c r="AF34" s="116"/>
      <c r="AG34" s="121"/>
      <c r="AH34" s="122"/>
      <c r="AI34" s="123"/>
      <c r="AJ34" s="123"/>
      <c r="AK34" s="121"/>
      <c r="AL34" s="122"/>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row>
    <row r="35" spans="1:70" x14ac:dyDescent="0.3">
      <c r="A35" s="209"/>
      <c r="B35" s="139"/>
      <c r="C35" s="139"/>
      <c r="D35" s="210"/>
      <c r="E35" s="200"/>
      <c r="F35" s="141"/>
      <c r="G35" s="210"/>
      <c r="H35" s="140"/>
      <c r="I35" s="211"/>
      <c r="J35" s="207"/>
      <c r="K35" s="206"/>
      <c r="L35" s="205"/>
      <c r="M35" s="206">
        <f t="shared" ca="1" si="32"/>
        <v>0</v>
      </c>
      <c r="N35" s="207"/>
      <c r="O35" s="206"/>
      <c r="P35" s="208"/>
      <c r="Q35" s="113">
        <v>3</v>
      </c>
      <c r="R35" s="126"/>
      <c r="S35" s="115" t="str">
        <f>IF(OR(T35="Preventivo",T35="Detectivo"),"Probabilidad",IF(T35="Correctivo","Impacto",""))</f>
        <v/>
      </c>
      <c r="T35" s="116"/>
      <c r="U35" s="116"/>
      <c r="V35" s="117" t="str">
        <f t="shared" si="33"/>
        <v/>
      </c>
      <c r="W35" s="116"/>
      <c r="X35" s="116"/>
      <c r="Y35" s="116"/>
      <c r="Z35" s="118" t="str">
        <f>IFERROR(IF(AND(S34="Probabilidad",S35="Probabilidad"),(AB34-(+AB34*V35)),IF(AND(S34="Impacto",S35="Probabilidad"),(AB33-(+AB33*V35)),IF(S35="Impacto",AB34,""))),"")</f>
        <v/>
      </c>
      <c r="AA35" s="119" t="str">
        <f t="shared" si="0"/>
        <v/>
      </c>
      <c r="AB35" s="117" t="str">
        <f t="shared" si="34"/>
        <v/>
      </c>
      <c r="AC35" s="119" t="str">
        <f t="shared" si="2"/>
        <v/>
      </c>
      <c r="AD35" s="117" t="str">
        <f>IFERROR(IF(AND(S34="Impacto",S35="Impacto"),(AD34-(+AD34*V35)),IF(AND(S34="Probabilidad",S35="Impacto"),(AD33-(+AD33*V35)),IF(S35="Probabilidad",AD34,""))),"")</f>
        <v/>
      </c>
      <c r="AE35" s="120" t="str">
        <f t="shared" si="35"/>
        <v/>
      </c>
      <c r="AF35" s="116"/>
      <c r="AG35" s="121"/>
      <c r="AH35" s="122"/>
      <c r="AI35" s="123"/>
      <c r="AJ35" s="123"/>
      <c r="AK35" s="121"/>
      <c r="AL35" s="122"/>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row>
    <row r="36" spans="1:70" x14ac:dyDescent="0.3">
      <c r="A36" s="209"/>
      <c r="B36" s="139"/>
      <c r="C36" s="139"/>
      <c r="D36" s="210"/>
      <c r="E36" s="200"/>
      <c r="F36" s="141"/>
      <c r="G36" s="210"/>
      <c r="H36" s="140"/>
      <c r="I36" s="211"/>
      <c r="J36" s="207"/>
      <c r="K36" s="206"/>
      <c r="L36" s="205"/>
      <c r="M36" s="206">
        <f t="shared" ca="1" si="32"/>
        <v>0</v>
      </c>
      <c r="N36" s="207"/>
      <c r="O36" s="206"/>
      <c r="P36" s="208"/>
      <c r="Q36" s="113">
        <v>4</v>
      </c>
      <c r="R36" s="114"/>
      <c r="S36" s="115" t="str">
        <f t="shared" ref="S36:S38" si="36">IF(OR(T36="Preventivo",T36="Detectivo"),"Probabilidad",IF(T36="Correctivo","Impacto",""))</f>
        <v/>
      </c>
      <c r="T36" s="116"/>
      <c r="U36" s="116"/>
      <c r="V36" s="117" t="str">
        <f t="shared" si="33"/>
        <v/>
      </c>
      <c r="W36" s="116"/>
      <c r="X36" s="116"/>
      <c r="Y36" s="116"/>
      <c r="Z36" s="118" t="str">
        <f t="shared" ref="Z36:Z38" si="37">IFERROR(IF(AND(S35="Probabilidad",S36="Probabilidad"),(AB35-(+AB35*V36)),IF(AND(S35="Impacto",S36="Probabilidad"),(AB34-(+AB34*V36)),IF(S36="Impacto",AB35,""))),"")</f>
        <v/>
      </c>
      <c r="AA36" s="119" t="str">
        <f t="shared" si="0"/>
        <v/>
      </c>
      <c r="AB36" s="117" t="str">
        <f t="shared" si="34"/>
        <v/>
      </c>
      <c r="AC36" s="119" t="str">
        <f t="shared" si="2"/>
        <v/>
      </c>
      <c r="AD36" s="117" t="str">
        <f t="shared" ref="AD36:AD38" si="38">IFERROR(IF(AND(S35="Impacto",S36="Impacto"),(AD35-(+AD35*V36)),IF(AND(S35="Probabilidad",S36="Impacto"),(AD34-(+AD34*V36)),IF(S36="Probabilidad",AD35,""))),"")</f>
        <v/>
      </c>
      <c r="AE36" s="120" t="str">
        <f>IFERROR(IF(OR(AND(AA36="Muy Baja",AC36="Leve"),AND(AA36="Muy Baja",AC36="Menor"),AND(AA36="Baja",AC36="Leve")),"Bajo",IF(OR(AND(AA36="Muy baja",AC36="Moderado"),AND(AA36="Baja",AC36="Menor"),AND(AA36="Baja",AC36="Moderado"),AND(AA36="Media",AC36="Leve"),AND(AA36="Media",AC36="Menor"),AND(AA36="Media",AC36="Moderado"),AND(AA36="Alta",AC36="Leve"),AND(AA36="Alta",AC36="Menor")),"Moderado",IF(OR(AND(AA36="Muy Baja",AC36="Mayor"),AND(AA36="Baja",AC36="Mayor"),AND(AA36="Media",AC36="Mayor"),AND(AA36="Alta",AC36="Moderado"),AND(AA36="Alta",AC36="Mayor"),AND(AA36="Muy Alta",AC36="Leve"),AND(AA36="Muy Alta",AC36="Menor"),AND(AA36="Muy Alta",AC36="Moderado"),AND(AA36="Muy Alta",AC36="Mayor")),"Alto",IF(OR(AND(AA36="Muy Baja",AC36="Catastrófico"),AND(AA36="Baja",AC36="Catastrófico"),AND(AA36="Media",AC36="Catastrófico"),AND(AA36="Alta",AC36="Catastrófico"),AND(AA36="Muy Alta",AC36="Catastrófico")),"Extremo","")))),"")</f>
        <v/>
      </c>
      <c r="AF36" s="116"/>
      <c r="AG36" s="121"/>
      <c r="AH36" s="122"/>
      <c r="AI36" s="123"/>
      <c r="AJ36" s="123"/>
      <c r="AK36" s="121"/>
      <c r="AL36" s="122"/>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row>
    <row r="37" spans="1:70" x14ac:dyDescent="0.3">
      <c r="A37" s="209"/>
      <c r="B37" s="139"/>
      <c r="C37" s="139"/>
      <c r="D37" s="210"/>
      <c r="E37" s="200"/>
      <c r="F37" s="141"/>
      <c r="G37" s="210"/>
      <c r="H37" s="140"/>
      <c r="I37" s="211"/>
      <c r="J37" s="207"/>
      <c r="K37" s="206"/>
      <c r="L37" s="205"/>
      <c r="M37" s="206">
        <f t="shared" ca="1" si="32"/>
        <v>0</v>
      </c>
      <c r="N37" s="207"/>
      <c r="O37" s="206"/>
      <c r="P37" s="208"/>
      <c r="Q37" s="113">
        <v>5</v>
      </c>
      <c r="R37" s="114"/>
      <c r="S37" s="115" t="str">
        <f t="shared" si="36"/>
        <v/>
      </c>
      <c r="T37" s="116"/>
      <c r="U37" s="116"/>
      <c r="V37" s="117" t="str">
        <f t="shared" si="33"/>
        <v/>
      </c>
      <c r="W37" s="116"/>
      <c r="X37" s="116"/>
      <c r="Y37" s="116"/>
      <c r="Z37" s="118" t="str">
        <f t="shared" si="37"/>
        <v/>
      </c>
      <c r="AA37" s="119" t="str">
        <f t="shared" si="0"/>
        <v/>
      </c>
      <c r="AB37" s="117" t="str">
        <f t="shared" si="34"/>
        <v/>
      </c>
      <c r="AC37" s="119" t="str">
        <f t="shared" si="2"/>
        <v/>
      </c>
      <c r="AD37" s="117" t="str">
        <f t="shared" si="38"/>
        <v/>
      </c>
      <c r="AE37" s="120" t="str">
        <f t="shared" ref="AE37:AE38" si="39">IFERROR(IF(OR(AND(AA37="Muy Baja",AC37="Leve"),AND(AA37="Muy Baja",AC37="Menor"),AND(AA37="Baja",AC37="Leve")),"Bajo",IF(OR(AND(AA37="Muy baja",AC37="Moderado"),AND(AA37="Baja",AC37="Menor"),AND(AA37="Baja",AC37="Moderado"),AND(AA37="Media",AC37="Leve"),AND(AA37="Media",AC37="Menor"),AND(AA37="Media",AC37="Moderado"),AND(AA37="Alta",AC37="Leve"),AND(AA37="Alta",AC37="Menor")),"Moderado",IF(OR(AND(AA37="Muy Baja",AC37="Mayor"),AND(AA37="Baja",AC37="Mayor"),AND(AA37="Media",AC37="Mayor"),AND(AA37="Alta",AC37="Moderado"),AND(AA37="Alta",AC37="Mayor"),AND(AA37="Muy Alta",AC37="Leve"),AND(AA37="Muy Alta",AC37="Menor"),AND(AA37="Muy Alta",AC37="Moderado"),AND(AA37="Muy Alta",AC37="Mayor")),"Alto",IF(OR(AND(AA37="Muy Baja",AC37="Catastrófico"),AND(AA37="Baja",AC37="Catastrófico"),AND(AA37="Media",AC37="Catastrófico"),AND(AA37="Alta",AC37="Catastrófico"),AND(AA37="Muy Alta",AC37="Catastrófico")),"Extremo","")))),"")</f>
        <v/>
      </c>
      <c r="AF37" s="116"/>
      <c r="AG37" s="121"/>
      <c r="AH37" s="122"/>
      <c r="AI37" s="123"/>
      <c r="AJ37" s="123"/>
      <c r="AK37" s="121"/>
      <c r="AL37" s="122"/>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row>
    <row r="38" spans="1:70" x14ac:dyDescent="0.3">
      <c r="A38" s="209"/>
      <c r="B38" s="139"/>
      <c r="C38" s="139"/>
      <c r="D38" s="210"/>
      <c r="E38" s="200"/>
      <c r="F38" s="141"/>
      <c r="G38" s="210"/>
      <c r="H38" s="140"/>
      <c r="I38" s="211"/>
      <c r="J38" s="207"/>
      <c r="K38" s="206"/>
      <c r="L38" s="205"/>
      <c r="M38" s="206">
        <f t="shared" ca="1" si="32"/>
        <v>0</v>
      </c>
      <c r="N38" s="207"/>
      <c r="O38" s="206"/>
      <c r="P38" s="208"/>
      <c r="Q38" s="113">
        <v>6</v>
      </c>
      <c r="R38" s="114"/>
      <c r="S38" s="115" t="str">
        <f t="shared" si="36"/>
        <v/>
      </c>
      <c r="T38" s="116"/>
      <c r="U38" s="116"/>
      <c r="V38" s="117" t="str">
        <f t="shared" si="33"/>
        <v/>
      </c>
      <c r="W38" s="116"/>
      <c r="X38" s="116"/>
      <c r="Y38" s="116"/>
      <c r="Z38" s="118" t="str">
        <f t="shared" si="37"/>
        <v/>
      </c>
      <c r="AA38" s="119" t="str">
        <f t="shared" si="0"/>
        <v/>
      </c>
      <c r="AB38" s="117" t="str">
        <f t="shared" si="34"/>
        <v/>
      </c>
      <c r="AC38" s="119" t="str">
        <f t="shared" si="2"/>
        <v/>
      </c>
      <c r="AD38" s="117" t="str">
        <f t="shared" si="38"/>
        <v/>
      </c>
      <c r="AE38" s="120" t="str">
        <f t="shared" si="39"/>
        <v/>
      </c>
      <c r="AF38" s="116"/>
      <c r="AG38" s="121"/>
      <c r="AH38" s="122"/>
      <c r="AI38" s="123"/>
      <c r="AJ38" s="123"/>
      <c r="AK38" s="121"/>
      <c r="AL38" s="122"/>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row>
    <row r="39" spans="1:70" x14ac:dyDescent="0.3">
      <c r="A39" s="209">
        <v>6</v>
      </c>
      <c r="B39" s="139"/>
      <c r="C39" s="139"/>
      <c r="D39" s="210"/>
      <c r="E39" s="200"/>
      <c r="F39" s="141"/>
      <c r="G39" s="210"/>
      <c r="H39" s="140"/>
      <c r="I39" s="211"/>
      <c r="J39" s="207" t="str">
        <f>IF(I39&lt;=0,"",IF(I39&lt;=2,"Muy Baja",IF(I39&lt;=24,"Baja",IF(I39&lt;=500,"Media",IF(I39&lt;=5000,"Alta","Muy Alta")))))</f>
        <v/>
      </c>
      <c r="K39" s="206" t="str">
        <f>IF(J39="","",IF(J39="Muy Baja",0.2,IF(J39="Baja",0.4,IF(J39="Media",0.6,IF(J39="Alta",0.8,IF(J39="Muy Alta",1,))))))</f>
        <v/>
      </c>
      <c r="L39" s="205"/>
      <c r="M39" s="206">
        <f ca="1">IF(NOT(ISERROR(MATCH(L39,'Tabla Impacto'!$B$221:$B$223,0))),'Tabla Impacto'!$F$223&amp;"Por favor no seleccionar los criterios de impacto(Afectación Económica o presupuestal y Pérdida Reputacional)",L39)</f>
        <v>0</v>
      </c>
      <c r="N39" s="207" t="str">
        <f ca="1">IF(OR(M39='Tabla Impacto'!$C$11,M39='Tabla Impacto'!$D$11),"Leve",IF(OR(M39='Tabla Impacto'!$C$12,M39='Tabla Impacto'!$D$12),"Menor",IF(OR(M39='Tabla Impacto'!$C$13,M39='Tabla Impacto'!$D$13),"Moderado",IF(OR(M39='Tabla Impacto'!$C$14,M39='Tabla Impacto'!$D$14),"Mayor",IF(OR(M39='Tabla Impacto'!$C$15,M39='Tabla Impacto'!$D$15),"Catastrófico","")))))</f>
        <v/>
      </c>
      <c r="O39" s="206" t="str">
        <f ca="1">IF(N39="","",IF(N39="Leve",0.2,IF(N39="Menor",0.4,IF(N39="Moderado",0.6,IF(N39="Mayor",0.8,IF(N39="Catastrófico",1,))))))</f>
        <v/>
      </c>
      <c r="P39" s="208" t="str">
        <f ca="1">IF(OR(AND(J39="Muy Baja",N39="Leve"),AND(J39="Muy Baja",N39="Menor"),AND(J39="Baja",N39="Leve")),"Bajo",IF(OR(AND(J39="Muy baja",N39="Moderado"),AND(J39="Baja",N39="Menor"),AND(J39="Baja",N39="Moderado"),AND(J39="Media",N39="Leve"),AND(J39="Media",N39="Menor"),AND(J39="Media",N39="Moderado"),AND(J39="Alta",N39="Leve"),AND(J39="Alta",N39="Menor")),"Moderado",IF(OR(AND(J39="Muy Baja",N39="Mayor"),AND(J39="Baja",N39="Mayor"),AND(J39="Media",N39="Mayor"),AND(J39="Alta",N39="Moderado"),AND(J39="Alta",N39="Mayor"),AND(J39="Muy Alta",N39="Leve"),AND(J39="Muy Alta",N39="Menor"),AND(J39="Muy Alta",N39="Moderado"),AND(J39="Muy Alta",N39="Mayor")),"Alto",IF(OR(AND(J39="Muy Baja",N39="Catastrófico"),AND(J39="Baja",N39="Catastrófico"),AND(J39="Media",N39="Catastrófico"),AND(J39="Alta",N39="Catastrófico"),AND(J39="Muy Alta",N39="Catastrófico")),"Extremo",""))))</f>
        <v/>
      </c>
      <c r="Q39" s="113">
        <v>1</v>
      </c>
      <c r="R39" s="114"/>
      <c r="S39" s="115" t="str">
        <f>IF(OR(T39="Preventivo",T39="Detectivo"),"Probabilidad",IF(T39="Correctivo","Impacto",""))</f>
        <v/>
      </c>
      <c r="T39" s="116"/>
      <c r="U39" s="116"/>
      <c r="V39" s="117" t="str">
        <f>IF(AND(T39="Preventivo",U39="Automático"),"50%",IF(AND(T39="Preventivo",U39="Manual"),"40%",IF(AND(T39="Detectivo",U39="Automático"),"40%",IF(AND(T39="Detectivo",U39="Manual"),"30%",IF(AND(T39="Correctivo",U39="Automático"),"35%",IF(AND(T39="Correctivo",U39="Manual"),"25%",""))))))</f>
        <v/>
      </c>
      <c r="W39" s="116"/>
      <c r="X39" s="116"/>
      <c r="Y39" s="116"/>
      <c r="Z39" s="118" t="str">
        <f>IFERROR(IF(S39="Probabilidad",(K39-(+K39*V39)),IF(S39="Impacto",K39,"")),"")</f>
        <v/>
      </c>
      <c r="AA39" s="119" t="str">
        <f>IFERROR(IF(Z39="","",IF(Z39&lt;=0.2,"Muy Baja",IF(Z39&lt;=0.4,"Baja",IF(Z39&lt;=0.6,"Media",IF(Z39&lt;=0.8,"Alta","Muy Alta"))))),"")</f>
        <v/>
      </c>
      <c r="AB39" s="117" t="str">
        <f>+Z39</f>
        <v/>
      </c>
      <c r="AC39" s="119" t="str">
        <f>IFERROR(IF(AD39="","",IF(AD39&lt;=0.2,"Leve",IF(AD39&lt;=0.4,"Menor",IF(AD39&lt;=0.6,"Moderado",IF(AD39&lt;=0.8,"Mayor","Catastrófico"))))),"")</f>
        <v/>
      </c>
      <c r="AD39" s="117" t="str">
        <f>IFERROR(IF(S39="Impacto",(O39-(+O39*V39)),IF(S39="Probabilidad",O39,"")),"")</f>
        <v/>
      </c>
      <c r="AE39" s="120" t="str">
        <f>IFERROR(IF(OR(AND(AA39="Muy Baja",AC39="Leve"),AND(AA39="Muy Baja",AC39="Menor"),AND(AA39="Baja",AC39="Leve")),"Bajo",IF(OR(AND(AA39="Muy baja",AC39="Moderado"),AND(AA39="Baja",AC39="Menor"),AND(AA39="Baja",AC39="Moderado"),AND(AA39="Media",AC39="Leve"),AND(AA39="Media",AC39="Menor"),AND(AA39="Media",AC39="Moderado"),AND(AA39="Alta",AC39="Leve"),AND(AA39="Alta",AC39="Menor")),"Moderado",IF(OR(AND(AA39="Muy Baja",AC39="Mayor"),AND(AA39="Baja",AC39="Mayor"),AND(AA39="Media",AC39="Mayor"),AND(AA39="Alta",AC39="Moderado"),AND(AA39="Alta",AC39="Mayor"),AND(AA39="Muy Alta",AC39="Leve"),AND(AA39="Muy Alta",AC39="Menor"),AND(AA39="Muy Alta",AC39="Moderado"),AND(AA39="Muy Alta",AC39="Mayor")),"Alto",IF(OR(AND(AA39="Muy Baja",AC39="Catastrófico"),AND(AA39="Baja",AC39="Catastrófico"),AND(AA39="Media",AC39="Catastrófico"),AND(AA39="Alta",AC39="Catastrófico"),AND(AA39="Muy Alta",AC39="Catastrófico")),"Extremo","")))),"")</f>
        <v/>
      </c>
      <c r="AF39" s="116"/>
      <c r="AG39" s="121"/>
      <c r="AH39" s="122"/>
      <c r="AI39" s="123"/>
      <c r="AJ39" s="123"/>
      <c r="AK39" s="121"/>
      <c r="AL39" s="122"/>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row>
    <row r="40" spans="1:70" x14ac:dyDescent="0.3">
      <c r="A40" s="209"/>
      <c r="B40" s="139"/>
      <c r="C40" s="139"/>
      <c r="D40" s="210"/>
      <c r="E40" s="200"/>
      <c r="F40" s="141"/>
      <c r="G40" s="210"/>
      <c r="H40" s="140"/>
      <c r="I40" s="211"/>
      <c r="J40" s="207"/>
      <c r="K40" s="206"/>
      <c r="L40" s="205"/>
      <c r="M40" s="206">
        <f t="shared" ref="M40:M44" ca="1" si="40">IF(NOT(ISERROR(MATCH(L40,_xlfn.ANCHORARRAY(E51),0))),K53&amp;"Por favor no seleccionar los criterios de impacto",L40)</f>
        <v>0</v>
      </c>
      <c r="N40" s="207"/>
      <c r="O40" s="206"/>
      <c r="P40" s="208"/>
      <c r="Q40" s="113">
        <v>2</v>
      </c>
      <c r="R40" s="114"/>
      <c r="S40" s="115" t="str">
        <f>IF(OR(T40="Preventivo",T40="Detectivo"),"Probabilidad",IF(T40="Correctivo","Impacto",""))</f>
        <v/>
      </c>
      <c r="T40" s="116"/>
      <c r="U40" s="116"/>
      <c r="V40" s="117" t="str">
        <f t="shared" ref="V40:V44" si="41">IF(AND(T40="Preventivo",U40="Automático"),"50%",IF(AND(T40="Preventivo",U40="Manual"),"40%",IF(AND(T40="Detectivo",U40="Automático"),"40%",IF(AND(T40="Detectivo",U40="Manual"),"30%",IF(AND(T40="Correctivo",U40="Automático"),"35%",IF(AND(T40="Correctivo",U40="Manual"),"25%",""))))))</f>
        <v/>
      </c>
      <c r="W40" s="116"/>
      <c r="X40" s="116"/>
      <c r="Y40" s="116"/>
      <c r="Z40" s="118" t="str">
        <f>IFERROR(IF(AND(S39="Probabilidad",S40="Probabilidad"),(AB39-(+AB39*V40)),IF(S40="Probabilidad",(K39-(+K39*V40)),IF(S40="Impacto",AB39,""))),"")</f>
        <v/>
      </c>
      <c r="AA40" s="119" t="str">
        <f t="shared" si="0"/>
        <v/>
      </c>
      <c r="AB40" s="117" t="str">
        <f t="shared" ref="AB40:AB44" si="42">+Z40</f>
        <v/>
      </c>
      <c r="AC40" s="119" t="str">
        <f t="shared" si="2"/>
        <v/>
      </c>
      <c r="AD40" s="117" t="str">
        <f>IFERROR(IF(AND(S39="Impacto",S40="Impacto"),(AD33-(+AD33*V40)),IF(S40="Impacto",($O$39-(+$O$39*V40)),IF(S40="Probabilidad",AD33,""))),"")</f>
        <v/>
      </c>
      <c r="AE40" s="120" t="str">
        <f t="shared" ref="AE40:AE41" si="43">IFERROR(IF(OR(AND(AA40="Muy Baja",AC40="Leve"),AND(AA40="Muy Baja",AC40="Menor"),AND(AA40="Baja",AC40="Leve")),"Bajo",IF(OR(AND(AA40="Muy baja",AC40="Moderado"),AND(AA40="Baja",AC40="Menor"),AND(AA40="Baja",AC40="Moderado"),AND(AA40="Media",AC40="Leve"),AND(AA40="Media",AC40="Menor"),AND(AA40="Media",AC40="Moderado"),AND(AA40="Alta",AC40="Leve"),AND(AA40="Alta",AC40="Menor")),"Moderado",IF(OR(AND(AA40="Muy Baja",AC40="Mayor"),AND(AA40="Baja",AC40="Mayor"),AND(AA40="Media",AC40="Mayor"),AND(AA40="Alta",AC40="Moderado"),AND(AA40="Alta",AC40="Mayor"),AND(AA40="Muy Alta",AC40="Leve"),AND(AA40="Muy Alta",AC40="Menor"),AND(AA40="Muy Alta",AC40="Moderado"),AND(AA40="Muy Alta",AC40="Mayor")),"Alto",IF(OR(AND(AA40="Muy Baja",AC40="Catastrófico"),AND(AA40="Baja",AC40="Catastrófico"),AND(AA40="Media",AC40="Catastrófico"),AND(AA40="Alta",AC40="Catastrófico"),AND(AA40="Muy Alta",AC40="Catastrófico")),"Extremo","")))),"")</f>
        <v/>
      </c>
      <c r="AF40" s="116"/>
      <c r="AG40" s="121"/>
      <c r="AH40" s="122"/>
      <c r="AI40" s="123"/>
      <c r="AJ40" s="123"/>
      <c r="AK40" s="121"/>
      <c r="AL40" s="122"/>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row>
    <row r="41" spans="1:70" x14ac:dyDescent="0.3">
      <c r="A41" s="209"/>
      <c r="B41" s="139"/>
      <c r="C41" s="139"/>
      <c r="D41" s="210"/>
      <c r="E41" s="200"/>
      <c r="F41" s="141"/>
      <c r="G41" s="210"/>
      <c r="H41" s="140"/>
      <c r="I41" s="211"/>
      <c r="J41" s="207"/>
      <c r="K41" s="206"/>
      <c r="L41" s="205"/>
      <c r="M41" s="206">
        <f t="shared" ca="1" si="40"/>
        <v>0</v>
      </c>
      <c r="N41" s="207"/>
      <c r="O41" s="206"/>
      <c r="P41" s="208"/>
      <c r="Q41" s="113">
        <v>3</v>
      </c>
      <c r="R41" s="126"/>
      <c r="S41" s="115" t="str">
        <f>IF(OR(T41="Preventivo",T41="Detectivo"),"Probabilidad",IF(T41="Correctivo","Impacto",""))</f>
        <v/>
      </c>
      <c r="T41" s="116"/>
      <c r="U41" s="116"/>
      <c r="V41" s="117" t="str">
        <f t="shared" si="41"/>
        <v/>
      </c>
      <c r="W41" s="116"/>
      <c r="X41" s="116"/>
      <c r="Y41" s="116"/>
      <c r="Z41" s="118" t="str">
        <f>IFERROR(IF(AND(S40="Probabilidad",S41="Probabilidad"),(AB40-(+AB40*V41)),IF(AND(S40="Impacto",S41="Probabilidad"),(AB39-(+AB39*V41)),IF(S41="Impacto",AB40,""))),"")</f>
        <v/>
      </c>
      <c r="AA41" s="119" t="str">
        <f t="shared" si="0"/>
        <v/>
      </c>
      <c r="AB41" s="117" t="str">
        <f t="shared" si="42"/>
        <v/>
      </c>
      <c r="AC41" s="119" t="str">
        <f t="shared" si="2"/>
        <v/>
      </c>
      <c r="AD41" s="117" t="str">
        <f>IFERROR(IF(AND(S40="Impacto",S41="Impacto"),(AD40-(+AD40*V41)),IF(AND(S40="Probabilidad",S41="Impacto"),(AD39-(+AD39*V41)),IF(S41="Probabilidad",AD40,""))),"")</f>
        <v/>
      </c>
      <c r="AE41" s="120" t="str">
        <f t="shared" si="43"/>
        <v/>
      </c>
      <c r="AF41" s="116"/>
      <c r="AG41" s="121"/>
      <c r="AH41" s="122"/>
      <c r="AI41" s="123"/>
      <c r="AJ41" s="123"/>
      <c r="AK41" s="121"/>
      <c r="AL41" s="122"/>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row>
    <row r="42" spans="1:70" x14ac:dyDescent="0.3">
      <c r="A42" s="209"/>
      <c r="B42" s="139"/>
      <c r="C42" s="139"/>
      <c r="D42" s="210"/>
      <c r="E42" s="200"/>
      <c r="F42" s="141"/>
      <c r="G42" s="210"/>
      <c r="H42" s="140"/>
      <c r="I42" s="211"/>
      <c r="J42" s="207"/>
      <c r="K42" s="206"/>
      <c r="L42" s="205"/>
      <c r="M42" s="206">
        <f t="shared" ca="1" si="40"/>
        <v>0</v>
      </c>
      <c r="N42" s="207"/>
      <c r="O42" s="206"/>
      <c r="P42" s="208"/>
      <c r="Q42" s="113">
        <v>4</v>
      </c>
      <c r="R42" s="114"/>
      <c r="S42" s="115" t="str">
        <f t="shared" ref="S42:S44" si="44">IF(OR(T42="Preventivo",T42="Detectivo"),"Probabilidad",IF(T42="Correctivo","Impacto",""))</f>
        <v/>
      </c>
      <c r="T42" s="116"/>
      <c r="U42" s="116"/>
      <c r="V42" s="117" t="str">
        <f t="shared" si="41"/>
        <v/>
      </c>
      <c r="W42" s="116"/>
      <c r="X42" s="116"/>
      <c r="Y42" s="116"/>
      <c r="Z42" s="118" t="str">
        <f t="shared" ref="Z42:Z44" si="45">IFERROR(IF(AND(S41="Probabilidad",S42="Probabilidad"),(AB41-(+AB41*V42)),IF(AND(S41="Impacto",S42="Probabilidad"),(AB40-(+AB40*V42)),IF(S42="Impacto",AB41,""))),"")</f>
        <v/>
      </c>
      <c r="AA42" s="119" t="str">
        <f t="shared" si="0"/>
        <v/>
      </c>
      <c r="AB42" s="117" t="str">
        <f t="shared" si="42"/>
        <v/>
      </c>
      <c r="AC42" s="119" t="str">
        <f t="shared" si="2"/>
        <v/>
      </c>
      <c r="AD42" s="117" t="str">
        <f t="shared" ref="AD42:AD44" si="46">IFERROR(IF(AND(S41="Impacto",S42="Impacto"),(AD41-(+AD41*V42)),IF(AND(S41="Probabilidad",S42="Impacto"),(AD40-(+AD40*V42)),IF(S42="Probabilidad",AD41,""))),"")</f>
        <v/>
      </c>
      <c r="AE42" s="120" t="str">
        <f>IFERROR(IF(OR(AND(AA42="Muy Baja",AC42="Leve"),AND(AA42="Muy Baja",AC42="Menor"),AND(AA42="Baja",AC42="Leve")),"Bajo",IF(OR(AND(AA42="Muy baja",AC42="Moderado"),AND(AA42="Baja",AC42="Menor"),AND(AA42="Baja",AC42="Moderado"),AND(AA42="Media",AC42="Leve"),AND(AA42="Media",AC42="Menor"),AND(AA42="Media",AC42="Moderado"),AND(AA42="Alta",AC42="Leve"),AND(AA42="Alta",AC42="Menor")),"Moderado",IF(OR(AND(AA42="Muy Baja",AC42="Mayor"),AND(AA42="Baja",AC42="Mayor"),AND(AA42="Media",AC42="Mayor"),AND(AA42="Alta",AC42="Moderado"),AND(AA42="Alta",AC42="Mayor"),AND(AA42="Muy Alta",AC42="Leve"),AND(AA42="Muy Alta",AC42="Menor"),AND(AA42="Muy Alta",AC42="Moderado"),AND(AA42="Muy Alta",AC42="Mayor")),"Alto",IF(OR(AND(AA42="Muy Baja",AC42="Catastrófico"),AND(AA42="Baja",AC42="Catastrófico"),AND(AA42="Media",AC42="Catastrófico"),AND(AA42="Alta",AC42="Catastrófico"),AND(AA42="Muy Alta",AC42="Catastrófico")),"Extremo","")))),"")</f>
        <v/>
      </c>
      <c r="AF42" s="116"/>
      <c r="AG42" s="121"/>
      <c r="AH42" s="122"/>
      <c r="AI42" s="123"/>
      <c r="AJ42" s="123"/>
      <c r="AK42" s="121"/>
      <c r="AL42" s="122"/>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row>
    <row r="43" spans="1:70" x14ac:dyDescent="0.3">
      <c r="A43" s="209"/>
      <c r="B43" s="139"/>
      <c r="C43" s="139"/>
      <c r="D43" s="210"/>
      <c r="E43" s="200"/>
      <c r="F43" s="141"/>
      <c r="G43" s="210"/>
      <c r="H43" s="140"/>
      <c r="I43" s="211"/>
      <c r="J43" s="207"/>
      <c r="K43" s="206"/>
      <c r="L43" s="205"/>
      <c r="M43" s="206">
        <f t="shared" ca="1" si="40"/>
        <v>0</v>
      </c>
      <c r="N43" s="207"/>
      <c r="O43" s="206"/>
      <c r="P43" s="208"/>
      <c r="Q43" s="113">
        <v>5</v>
      </c>
      <c r="R43" s="114"/>
      <c r="S43" s="115" t="str">
        <f t="shared" si="44"/>
        <v/>
      </c>
      <c r="T43" s="116"/>
      <c r="U43" s="116"/>
      <c r="V43" s="117" t="str">
        <f t="shared" si="41"/>
        <v/>
      </c>
      <c r="W43" s="116"/>
      <c r="X43" s="116"/>
      <c r="Y43" s="116"/>
      <c r="Z43" s="118" t="str">
        <f t="shared" si="45"/>
        <v/>
      </c>
      <c r="AA43" s="119" t="str">
        <f t="shared" si="0"/>
        <v/>
      </c>
      <c r="AB43" s="117" t="str">
        <f t="shared" si="42"/>
        <v/>
      </c>
      <c r="AC43" s="119" t="str">
        <f t="shared" si="2"/>
        <v/>
      </c>
      <c r="AD43" s="117" t="str">
        <f t="shared" si="46"/>
        <v/>
      </c>
      <c r="AE43" s="120" t="str">
        <f t="shared" ref="AE43" si="47">IFERROR(IF(OR(AND(AA43="Muy Baja",AC43="Leve"),AND(AA43="Muy Baja",AC43="Menor"),AND(AA43="Baja",AC43="Leve")),"Bajo",IF(OR(AND(AA43="Muy baja",AC43="Moderado"),AND(AA43="Baja",AC43="Menor"),AND(AA43="Baja",AC43="Moderado"),AND(AA43="Media",AC43="Leve"),AND(AA43="Media",AC43="Menor"),AND(AA43="Media",AC43="Moderado"),AND(AA43="Alta",AC43="Leve"),AND(AA43="Alta",AC43="Menor")),"Moderado",IF(OR(AND(AA43="Muy Baja",AC43="Mayor"),AND(AA43="Baja",AC43="Mayor"),AND(AA43="Media",AC43="Mayor"),AND(AA43="Alta",AC43="Moderado"),AND(AA43="Alta",AC43="Mayor"),AND(AA43="Muy Alta",AC43="Leve"),AND(AA43="Muy Alta",AC43="Menor"),AND(AA43="Muy Alta",AC43="Moderado"),AND(AA43="Muy Alta",AC43="Mayor")),"Alto",IF(OR(AND(AA43="Muy Baja",AC43="Catastrófico"),AND(AA43="Baja",AC43="Catastrófico"),AND(AA43="Media",AC43="Catastrófico"),AND(AA43="Alta",AC43="Catastrófico"),AND(AA43="Muy Alta",AC43="Catastrófico")),"Extremo","")))),"")</f>
        <v/>
      </c>
      <c r="AF43" s="116"/>
      <c r="AG43" s="121"/>
      <c r="AH43" s="122"/>
      <c r="AI43" s="123"/>
      <c r="AJ43" s="123"/>
      <c r="AK43" s="121"/>
      <c r="AL43" s="122"/>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row>
    <row r="44" spans="1:70" x14ac:dyDescent="0.3">
      <c r="A44" s="209"/>
      <c r="B44" s="139"/>
      <c r="C44" s="139"/>
      <c r="D44" s="210"/>
      <c r="E44" s="200"/>
      <c r="F44" s="141"/>
      <c r="G44" s="210"/>
      <c r="H44" s="140"/>
      <c r="I44" s="211"/>
      <c r="J44" s="207"/>
      <c r="K44" s="206"/>
      <c r="L44" s="205"/>
      <c r="M44" s="206">
        <f t="shared" ca="1" si="40"/>
        <v>0</v>
      </c>
      <c r="N44" s="207"/>
      <c r="O44" s="206"/>
      <c r="P44" s="208"/>
      <c r="Q44" s="113">
        <v>6</v>
      </c>
      <c r="R44" s="114"/>
      <c r="S44" s="115" t="str">
        <f t="shared" si="44"/>
        <v/>
      </c>
      <c r="T44" s="116"/>
      <c r="U44" s="116"/>
      <c r="V44" s="117" t="str">
        <f t="shared" si="41"/>
        <v/>
      </c>
      <c r="W44" s="116"/>
      <c r="X44" s="116"/>
      <c r="Y44" s="116"/>
      <c r="Z44" s="118" t="str">
        <f t="shared" si="45"/>
        <v/>
      </c>
      <c r="AA44" s="119" t="str">
        <f t="shared" si="0"/>
        <v/>
      </c>
      <c r="AB44" s="117" t="str">
        <f t="shared" si="42"/>
        <v/>
      </c>
      <c r="AC44" s="119" t="str">
        <f>IFERROR(IF(AD44="","",IF(AD44&lt;=0.2,"Leve",IF(AD44&lt;=0.4,"Menor",IF(AD44&lt;=0.6,"Moderado",IF(AD44&lt;=0.8,"Mayor","Catastrófico"))))),"")</f>
        <v/>
      </c>
      <c r="AD44" s="117" t="str">
        <f t="shared" si="46"/>
        <v/>
      </c>
      <c r="AE44" s="120" t="str">
        <f>IFERROR(IF(OR(AND(AA44="Muy Baja",AC44="Leve"),AND(AA44="Muy Baja",AC44="Menor"),AND(AA44="Baja",AC44="Leve")),"Bajo",IF(OR(AND(AA44="Muy baja",AC44="Moderado"),AND(AA44="Baja",AC44="Menor"),AND(AA44="Baja",AC44="Moderado"),AND(AA44="Media",AC44="Leve"),AND(AA44="Media",AC44="Menor"),AND(AA44="Media",AC44="Moderado"),AND(AA44="Alta",AC44="Leve"),AND(AA44="Alta",AC44="Menor")),"Moderado",IF(OR(AND(AA44="Muy Baja",AC44="Mayor"),AND(AA44="Baja",AC44="Mayor"),AND(AA44="Media",AC44="Mayor"),AND(AA44="Alta",AC44="Moderado"),AND(AA44="Alta",AC44="Mayor"),AND(AA44="Muy Alta",AC44="Leve"),AND(AA44="Muy Alta",AC44="Menor"),AND(AA44="Muy Alta",AC44="Moderado"),AND(AA44="Muy Alta",AC44="Mayor")),"Alto",IF(OR(AND(AA44="Muy Baja",AC44="Catastrófico"),AND(AA44="Baja",AC44="Catastrófico"),AND(AA44="Media",AC44="Catastrófico"),AND(AA44="Alta",AC44="Catastrófico"),AND(AA44="Muy Alta",AC44="Catastrófico")),"Extremo","")))),"")</f>
        <v/>
      </c>
      <c r="AF44" s="116"/>
      <c r="AG44" s="121"/>
      <c r="AH44" s="122"/>
      <c r="AI44" s="123"/>
      <c r="AJ44" s="123"/>
      <c r="AK44" s="121"/>
      <c r="AL44" s="122"/>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row>
    <row r="45" spans="1:70" x14ac:dyDescent="0.3">
      <c r="A45" s="209">
        <v>7</v>
      </c>
      <c r="B45" s="139"/>
      <c r="C45" s="139"/>
      <c r="D45" s="210"/>
      <c r="E45" s="200"/>
      <c r="F45" s="141"/>
      <c r="G45" s="210"/>
      <c r="H45" s="140"/>
      <c r="I45" s="211"/>
      <c r="J45" s="207" t="str">
        <f>IF(I45&lt;=0,"",IF(I45&lt;=2,"Muy Baja",IF(I45&lt;=24,"Baja",IF(I45&lt;=500,"Media",IF(I45&lt;=5000,"Alta","Muy Alta")))))</f>
        <v/>
      </c>
      <c r="K45" s="206" t="str">
        <f>IF(J45="","",IF(J45="Muy Baja",0.2,IF(J45="Baja",0.4,IF(J45="Media",0.6,IF(J45="Alta",0.8,IF(J45="Muy Alta",1,))))))</f>
        <v/>
      </c>
      <c r="L45" s="205"/>
      <c r="M45" s="206">
        <f ca="1">IF(NOT(ISERROR(MATCH(L45,'Tabla Impacto'!$B$221:$B$223,0))),'Tabla Impacto'!$F$223&amp;"Por favor no seleccionar los criterios de impacto(Afectación Económica o presupuestal y Pérdida Reputacional)",L45)</f>
        <v>0</v>
      </c>
      <c r="N45" s="207" t="str">
        <f ca="1">IF(OR(M45='Tabla Impacto'!$C$11,M45='Tabla Impacto'!$D$11),"Leve",IF(OR(M45='Tabla Impacto'!$C$12,M45='Tabla Impacto'!$D$12),"Menor",IF(OR(M45='Tabla Impacto'!$C$13,M45='Tabla Impacto'!$D$13),"Moderado",IF(OR(M45='Tabla Impacto'!$C$14,M45='Tabla Impacto'!$D$14),"Mayor",IF(OR(M45='Tabla Impacto'!$C$15,M45='Tabla Impacto'!$D$15),"Catastrófico","")))))</f>
        <v/>
      </c>
      <c r="O45" s="206" t="str">
        <f ca="1">IF(N45="","",IF(N45="Leve",0.2,IF(N45="Menor",0.4,IF(N45="Moderado",0.6,IF(N45="Mayor",0.8,IF(N45="Catastrófico",1,))))))</f>
        <v/>
      </c>
      <c r="P45" s="208" t="str">
        <f ca="1">IF(OR(AND(J45="Muy Baja",N45="Leve"),AND(J45="Muy Baja",N45="Menor"),AND(J45="Baja",N45="Leve")),"Bajo",IF(OR(AND(J45="Muy baja",N45="Moderado"),AND(J45="Baja",N45="Menor"),AND(J45="Baja",N45="Moderado"),AND(J45="Media",N45="Leve"),AND(J45="Media",N45="Menor"),AND(J45="Media",N45="Moderado"),AND(J45="Alta",N45="Leve"),AND(J45="Alta",N45="Menor")),"Moderado",IF(OR(AND(J45="Muy Baja",N45="Mayor"),AND(J45="Baja",N45="Mayor"),AND(J45="Media",N45="Mayor"),AND(J45="Alta",N45="Moderado"),AND(J45="Alta",N45="Mayor"),AND(J45="Muy Alta",N45="Leve"),AND(J45="Muy Alta",N45="Menor"),AND(J45="Muy Alta",N45="Moderado"),AND(J45="Muy Alta",N45="Mayor")),"Alto",IF(OR(AND(J45="Muy Baja",N45="Catastrófico"),AND(J45="Baja",N45="Catastrófico"),AND(J45="Media",N45="Catastrófico"),AND(J45="Alta",N45="Catastrófico"),AND(J45="Muy Alta",N45="Catastrófico")),"Extremo",""))))</f>
        <v/>
      </c>
      <c r="Q45" s="113">
        <v>1</v>
      </c>
      <c r="R45" s="114"/>
      <c r="S45" s="115" t="str">
        <f>IF(OR(T45="Preventivo",T45="Detectivo"),"Probabilidad",IF(T45="Correctivo","Impacto",""))</f>
        <v/>
      </c>
      <c r="T45" s="116"/>
      <c r="U45" s="116"/>
      <c r="V45" s="117" t="str">
        <f>IF(AND(T45="Preventivo",U45="Automático"),"50%",IF(AND(T45="Preventivo",U45="Manual"),"40%",IF(AND(T45="Detectivo",U45="Automático"),"40%",IF(AND(T45="Detectivo",U45="Manual"),"30%",IF(AND(T45="Correctivo",U45="Automático"),"35%",IF(AND(T45="Correctivo",U45="Manual"),"25%",""))))))</f>
        <v/>
      </c>
      <c r="W45" s="116"/>
      <c r="X45" s="116"/>
      <c r="Y45" s="116"/>
      <c r="Z45" s="118" t="str">
        <f>IFERROR(IF(S45="Probabilidad",(K45-(+K45*V45)),IF(S45="Impacto",K45,"")),"")</f>
        <v/>
      </c>
      <c r="AA45" s="119" t="str">
        <f>IFERROR(IF(Z45="","",IF(Z45&lt;=0.2,"Muy Baja",IF(Z45&lt;=0.4,"Baja",IF(Z45&lt;=0.6,"Media",IF(Z45&lt;=0.8,"Alta","Muy Alta"))))),"")</f>
        <v/>
      </c>
      <c r="AB45" s="117" t="str">
        <f>+Z45</f>
        <v/>
      </c>
      <c r="AC45" s="119" t="str">
        <f>IFERROR(IF(AD45="","",IF(AD45&lt;=0.2,"Leve",IF(AD45&lt;=0.4,"Menor",IF(AD45&lt;=0.6,"Moderado",IF(AD45&lt;=0.8,"Mayor","Catastrófico"))))),"")</f>
        <v/>
      </c>
      <c r="AD45" s="117" t="str">
        <f>IFERROR(IF(S45="Impacto",(O45-(+O45*V45)),IF(S45="Probabilidad",O45,"")),"")</f>
        <v/>
      </c>
      <c r="AE45" s="120" t="str">
        <f>IFERROR(IF(OR(AND(AA45="Muy Baja",AC45="Leve"),AND(AA45="Muy Baja",AC45="Menor"),AND(AA45="Baja",AC45="Leve")),"Bajo",IF(OR(AND(AA45="Muy baja",AC45="Moderado"),AND(AA45="Baja",AC45="Menor"),AND(AA45="Baja",AC45="Moderado"),AND(AA45="Media",AC45="Leve"),AND(AA45="Media",AC45="Menor"),AND(AA45="Media",AC45="Moderado"),AND(AA45="Alta",AC45="Leve"),AND(AA45="Alta",AC45="Menor")),"Moderado",IF(OR(AND(AA45="Muy Baja",AC45="Mayor"),AND(AA45="Baja",AC45="Mayor"),AND(AA45="Media",AC45="Mayor"),AND(AA45="Alta",AC45="Moderado"),AND(AA45="Alta",AC45="Mayor"),AND(AA45="Muy Alta",AC45="Leve"),AND(AA45="Muy Alta",AC45="Menor"),AND(AA45="Muy Alta",AC45="Moderado"),AND(AA45="Muy Alta",AC45="Mayor")),"Alto",IF(OR(AND(AA45="Muy Baja",AC45="Catastrófico"),AND(AA45="Baja",AC45="Catastrófico"),AND(AA45="Media",AC45="Catastrófico"),AND(AA45="Alta",AC45="Catastrófico"),AND(AA45="Muy Alta",AC45="Catastrófico")),"Extremo","")))),"")</f>
        <v/>
      </c>
      <c r="AF45" s="116"/>
      <c r="AG45" s="121"/>
      <c r="AH45" s="122"/>
      <c r="AI45" s="123"/>
      <c r="AJ45" s="123"/>
      <c r="AK45" s="121"/>
      <c r="AL45" s="122"/>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row>
    <row r="46" spans="1:70" x14ac:dyDescent="0.3">
      <c r="A46" s="209"/>
      <c r="B46" s="139"/>
      <c r="C46" s="139"/>
      <c r="D46" s="210"/>
      <c r="E46" s="200"/>
      <c r="F46" s="141"/>
      <c r="G46" s="210"/>
      <c r="H46" s="140"/>
      <c r="I46" s="211"/>
      <c r="J46" s="207"/>
      <c r="K46" s="206"/>
      <c r="L46" s="205"/>
      <c r="M46" s="206">
        <f t="shared" ref="M46:M50" ca="1" si="48">IF(NOT(ISERROR(MATCH(L46,_xlfn.ANCHORARRAY(E57),0))),K59&amp;"Por favor no seleccionar los criterios de impacto",L46)</f>
        <v>0</v>
      </c>
      <c r="N46" s="207"/>
      <c r="O46" s="206"/>
      <c r="P46" s="208"/>
      <c r="Q46" s="113">
        <v>2</v>
      </c>
      <c r="R46" s="114"/>
      <c r="S46" s="115" t="str">
        <f>IF(OR(T46="Preventivo",T46="Detectivo"),"Probabilidad",IF(T46="Correctivo","Impacto",""))</f>
        <v/>
      </c>
      <c r="T46" s="116"/>
      <c r="U46" s="116"/>
      <c r="V46" s="117" t="str">
        <f t="shared" ref="V46:V50" si="49">IF(AND(T46="Preventivo",U46="Automático"),"50%",IF(AND(T46="Preventivo",U46="Manual"),"40%",IF(AND(T46="Detectivo",U46="Automático"),"40%",IF(AND(T46="Detectivo",U46="Manual"),"30%",IF(AND(T46="Correctivo",U46="Automático"),"35%",IF(AND(T46="Correctivo",U46="Manual"),"25%",""))))))</f>
        <v/>
      </c>
      <c r="W46" s="116"/>
      <c r="X46" s="116"/>
      <c r="Y46" s="116"/>
      <c r="Z46" s="118" t="str">
        <f>IFERROR(IF(AND(S45="Probabilidad",S46="Probabilidad"),(AB45-(+AB45*V46)),IF(S46="Probabilidad",(K45-(+K45*V46)),IF(S46="Impacto",AB45,""))),"")</f>
        <v/>
      </c>
      <c r="AA46" s="119" t="str">
        <f t="shared" si="0"/>
        <v/>
      </c>
      <c r="AB46" s="117" t="str">
        <f t="shared" ref="AB46:AB50" si="50">+Z46</f>
        <v/>
      </c>
      <c r="AC46" s="119" t="str">
        <f t="shared" si="2"/>
        <v/>
      </c>
      <c r="AD46" s="117" t="str">
        <f>IFERROR(IF(AND(S45="Impacto",S46="Impacto"),(AD39-(+AD39*V46)),IF(S46="Impacto",($O$45-(+$O$45*V46)),IF(S46="Probabilidad",AD39,""))),"")</f>
        <v/>
      </c>
      <c r="AE46" s="120" t="str">
        <f t="shared" ref="AE46:AE47" si="51">IFERROR(IF(OR(AND(AA46="Muy Baja",AC46="Leve"),AND(AA46="Muy Baja",AC46="Menor"),AND(AA46="Baja",AC46="Leve")),"Bajo",IF(OR(AND(AA46="Muy baja",AC46="Moderado"),AND(AA46="Baja",AC46="Menor"),AND(AA46="Baja",AC46="Moderado"),AND(AA46="Media",AC46="Leve"),AND(AA46="Media",AC46="Menor"),AND(AA46="Media",AC46="Moderado"),AND(AA46="Alta",AC46="Leve"),AND(AA46="Alta",AC46="Menor")),"Moderado",IF(OR(AND(AA46="Muy Baja",AC46="Mayor"),AND(AA46="Baja",AC46="Mayor"),AND(AA46="Media",AC46="Mayor"),AND(AA46="Alta",AC46="Moderado"),AND(AA46="Alta",AC46="Mayor"),AND(AA46="Muy Alta",AC46="Leve"),AND(AA46="Muy Alta",AC46="Menor"),AND(AA46="Muy Alta",AC46="Moderado"),AND(AA46="Muy Alta",AC46="Mayor")),"Alto",IF(OR(AND(AA46="Muy Baja",AC46="Catastrófico"),AND(AA46="Baja",AC46="Catastrófico"),AND(AA46="Media",AC46="Catastrófico"),AND(AA46="Alta",AC46="Catastrófico"),AND(AA46="Muy Alta",AC46="Catastrófico")),"Extremo","")))),"")</f>
        <v/>
      </c>
      <c r="AF46" s="116"/>
      <c r="AG46" s="121"/>
      <c r="AH46" s="122"/>
      <c r="AI46" s="123"/>
      <c r="AJ46" s="123"/>
      <c r="AK46" s="121"/>
      <c r="AL46" s="122"/>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row>
    <row r="47" spans="1:70" x14ac:dyDescent="0.3">
      <c r="A47" s="209"/>
      <c r="B47" s="139"/>
      <c r="C47" s="139"/>
      <c r="D47" s="210"/>
      <c r="E47" s="200"/>
      <c r="F47" s="141"/>
      <c r="G47" s="210"/>
      <c r="H47" s="140"/>
      <c r="I47" s="211"/>
      <c r="J47" s="207"/>
      <c r="K47" s="206"/>
      <c r="L47" s="205"/>
      <c r="M47" s="206">
        <f t="shared" ca="1" si="48"/>
        <v>0</v>
      </c>
      <c r="N47" s="207"/>
      <c r="O47" s="206"/>
      <c r="P47" s="208"/>
      <c r="Q47" s="113">
        <v>3</v>
      </c>
      <c r="R47" s="126"/>
      <c r="S47" s="115" t="str">
        <f>IF(OR(T47="Preventivo",T47="Detectivo"),"Probabilidad",IF(T47="Correctivo","Impacto",""))</f>
        <v/>
      </c>
      <c r="T47" s="116"/>
      <c r="U47" s="116"/>
      <c r="V47" s="117" t="str">
        <f t="shared" si="49"/>
        <v/>
      </c>
      <c r="W47" s="116"/>
      <c r="X47" s="116"/>
      <c r="Y47" s="116"/>
      <c r="Z47" s="118" t="str">
        <f>IFERROR(IF(AND(S46="Probabilidad",S47="Probabilidad"),(AB46-(+AB46*V47)),IF(AND(S46="Impacto",S47="Probabilidad"),(AB45-(+AB45*V47)),IF(S47="Impacto",AB46,""))),"")</f>
        <v/>
      </c>
      <c r="AA47" s="119" t="str">
        <f t="shared" si="0"/>
        <v/>
      </c>
      <c r="AB47" s="117" t="str">
        <f t="shared" si="50"/>
        <v/>
      </c>
      <c r="AC47" s="119" t="str">
        <f t="shared" si="2"/>
        <v/>
      </c>
      <c r="AD47" s="117" t="str">
        <f>IFERROR(IF(AND(S46="Impacto",S47="Impacto"),(AD46-(+AD46*V47)),IF(AND(S46="Probabilidad",S47="Impacto"),(AD45-(+AD45*V47)),IF(S47="Probabilidad",AD46,""))),"")</f>
        <v/>
      </c>
      <c r="AE47" s="120" t="str">
        <f t="shared" si="51"/>
        <v/>
      </c>
      <c r="AF47" s="116"/>
      <c r="AG47" s="121"/>
      <c r="AH47" s="122"/>
      <c r="AI47" s="123"/>
      <c r="AJ47" s="123"/>
      <c r="AK47" s="121"/>
      <c r="AL47" s="122"/>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row>
    <row r="48" spans="1:70" x14ac:dyDescent="0.3">
      <c r="A48" s="209"/>
      <c r="B48" s="139"/>
      <c r="C48" s="139"/>
      <c r="D48" s="210"/>
      <c r="E48" s="200"/>
      <c r="F48" s="141"/>
      <c r="G48" s="210"/>
      <c r="H48" s="140"/>
      <c r="I48" s="211"/>
      <c r="J48" s="207"/>
      <c r="K48" s="206"/>
      <c r="L48" s="205"/>
      <c r="M48" s="206">
        <f t="shared" ca="1" si="48"/>
        <v>0</v>
      </c>
      <c r="N48" s="207"/>
      <c r="O48" s="206"/>
      <c r="P48" s="208"/>
      <c r="Q48" s="113">
        <v>4</v>
      </c>
      <c r="R48" s="114"/>
      <c r="S48" s="115" t="str">
        <f t="shared" ref="S48:S50" si="52">IF(OR(T48="Preventivo",T48="Detectivo"),"Probabilidad",IF(T48="Correctivo","Impacto",""))</f>
        <v/>
      </c>
      <c r="T48" s="116"/>
      <c r="U48" s="116"/>
      <c r="V48" s="117" t="str">
        <f t="shared" si="49"/>
        <v/>
      </c>
      <c r="W48" s="116"/>
      <c r="X48" s="116"/>
      <c r="Y48" s="116"/>
      <c r="Z48" s="118" t="str">
        <f t="shared" ref="Z48:Z50" si="53">IFERROR(IF(AND(S47="Probabilidad",S48="Probabilidad"),(AB47-(+AB47*V48)),IF(AND(S47="Impacto",S48="Probabilidad"),(AB46-(+AB46*V48)),IF(S48="Impacto",AB47,""))),"")</f>
        <v/>
      </c>
      <c r="AA48" s="119" t="str">
        <f t="shared" si="0"/>
        <v/>
      </c>
      <c r="AB48" s="117" t="str">
        <f t="shared" si="50"/>
        <v/>
      </c>
      <c r="AC48" s="119" t="str">
        <f t="shared" si="2"/>
        <v/>
      </c>
      <c r="AD48" s="117" t="str">
        <f t="shared" ref="AD48:AD50" si="54">IFERROR(IF(AND(S47="Impacto",S48="Impacto"),(AD47-(+AD47*V48)),IF(AND(S47="Probabilidad",S48="Impacto"),(AD46-(+AD46*V48)),IF(S48="Probabilidad",AD47,""))),"")</f>
        <v/>
      </c>
      <c r="AE48" s="120" t="str">
        <f>IFERROR(IF(OR(AND(AA48="Muy Baja",AC48="Leve"),AND(AA48="Muy Baja",AC48="Menor"),AND(AA48="Baja",AC48="Leve")),"Bajo",IF(OR(AND(AA48="Muy baja",AC48="Moderado"),AND(AA48="Baja",AC48="Menor"),AND(AA48="Baja",AC48="Moderado"),AND(AA48="Media",AC48="Leve"),AND(AA48="Media",AC48="Menor"),AND(AA48="Media",AC48="Moderado"),AND(AA48="Alta",AC48="Leve"),AND(AA48="Alta",AC48="Menor")),"Moderado",IF(OR(AND(AA48="Muy Baja",AC48="Mayor"),AND(AA48="Baja",AC48="Mayor"),AND(AA48="Media",AC48="Mayor"),AND(AA48="Alta",AC48="Moderado"),AND(AA48="Alta",AC48="Mayor"),AND(AA48="Muy Alta",AC48="Leve"),AND(AA48="Muy Alta",AC48="Menor"),AND(AA48="Muy Alta",AC48="Moderado"),AND(AA48="Muy Alta",AC48="Mayor")),"Alto",IF(OR(AND(AA48="Muy Baja",AC48="Catastrófico"),AND(AA48="Baja",AC48="Catastrófico"),AND(AA48="Media",AC48="Catastrófico"),AND(AA48="Alta",AC48="Catastrófico"),AND(AA48="Muy Alta",AC48="Catastrófico")),"Extremo","")))),"")</f>
        <v/>
      </c>
      <c r="AF48" s="116"/>
      <c r="AG48" s="121"/>
      <c r="AH48" s="122"/>
      <c r="AI48" s="123"/>
      <c r="AJ48" s="123"/>
      <c r="AK48" s="121"/>
      <c r="AL48" s="122"/>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row>
    <row r="49" spans="1:70" x14ac:dyDescent="0.3">
      <c r="A49" s="209"/>
      <c r="B49" s="139"/>
      <c r="C49" s="139"/>
      <c r="D49" s="210"/>
      <c r="E49" s="200"/>
      <c r="F49" s="141"/>
      <c r="G49" s="210"/>
      <c r="H49" s="140"/>
      <c r="I49" s="211"/>
      <c r="J49" s="207"/>
      <c r="K49" s="206"/>
      <c r="L49" s="205"/>
      <c r="M49" s="206">
        <f t="shared" ca="1" si="48"/>
        <v>0</v>
      </c>
      <c r="N49" s="207"/>
      <c r="O49" s="206"/>
      <c r="P49" s="208"/>
      <c r="Q49" s="113">
        <v>5</v>
      </c>
      <c r="R49" s="114"/>
      <c r="S49" s="115" t="str">
        <f t="shared" si="52"/>
        <v/>
      </c>
      <c r="T49" s="116"/>
      <c r="U49" s="116"/>
      <c r="V49" s="117" t="str">
        <f t="shared" si="49"/>
        <v/>
      </c>
      <c r="W49" s="116"/>
      <c r="X49" s="116"/>
      <c r="Y49" s="116"/>
      <c r="Z49" s="118" t="str">
        <f t="shared" si="53"/>
        <v/>
      </c>
      <c r="AA49" s="119" t="str">
        <f t="shared" si="0"/>
        <v/>
      </c>
      <c r="AB49" s="117" t="str">
        <f t="shared" si="50"/>
        <v/>
      </c>
      <c r="AC49" s="119" t="str">
        <f t="shared" si="2"/>
        <v/>
      </c>
      <c r="AD49" s="117" t="str">
        <f t="shared" si="54"/>
        <v/>
      </c>
      <c r="AE49" s="120" t="str">
        <f t="shared" ref="AE49:AE50" si="55">IFERROR(IF(OR(AND(AA49="Muy Baja",AC49="Leve"),AND(AA49="Muy Baja",AC49="Menor"),AND(AA49="Baja",AC49="Leve")),"Bajo",IF(OR(AND(AA49="Muy baja",AC49="Moderado"),AND(AA49="Baja",AC49="Menor"),AND(AA49="Baja",AC49="Moderado"),AND(AA49="Media",AC49="Leve"),AND(AA49="Media",AC49="Menor"),AND(AA49="Media",AC49="Moderado"),AND(AA49="Alta",AC49="Leve"),AND(AA49="Alta",AC49="Menor")),"Moderado",IF(OR(AND(AA49="Muy Baja",AC49="Mayor"),AND(AA49="Baja",AC49="Mayor"),AND(AA49="Media",AC49="Mayor"),AND(AA49="Alta",AC49="Moderado"),AND(AA49="Alta",AC49="Mayor"),AND(AA49="Muy Alta",AC49="Leve"),AND(AA49="Muy Alta",AC49="Menor"),AND(AA49="Muy Alta",AC49="Moderado"),AND(AA49="Muy Alta",AC49="Mayor")),"Alto",IF(OR(AND(AA49="Muy Baja",AC49="Catastrófico"),AND(AA49="Baja",AC49="Catastrófico"),AND(AA49="Media",AC49="Catastrófico"),AND(AA49="Alta",AC49="Catastrófico"),AND(AA49="Muy Alta",AC49="Catastrófico")),"Extremo","")))),"")</f>
        <v/>
      </c>
      <c r="AF49" s="116"/>
      <c r="AG49" s="121"/>
      <c r="AH49" s="122"/>
      <c r="AI49" s="123"/>
      <c r="AJ49" s="123"/>
      <c r="AK49" s="121"/>
      <c r="AL49" s="122"/>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row>
    <row r="50" spans="1:70" x14ac:dyDescent="0.3">
      <c r="A50" s="209"/>
      <c r="B50" s="139"/>
      <c r="C50" s="139"/>
      <c r="D50" s="210"/>
      <c r="E50" s="200"/>
      <c r="F50" s="141"/>
      <c r="G50" s="210"/>
      <c r="H50" s="140"/>
      <c r="I50" s="211"/>
      <c r="J50" s="207"/>
      <c r="K50" s="206"/>
      <c r="L50" s="205"/>
      <c r="M50" s="206">
        <f t="shared" ca="1" si="48"/>
        <v>0</v>
      </c>
      <c r="N50" s="207"/>
      <c r="O50" s="206"/>
      <c r="P50" s="208"/>
      <c r="Q50" s="113">
        <v>6</v>
      </c>
      <c r="R50" s="114"/>
      <c r="S50" s="115" t="str">
        <f t="shared" si="52"/>
        <v/>
      </c>
      <c r="T50" s="116"/>
      <c r="U50" s="116"/>
      <c r="V50" s="117" t="str">
        <f t="shared" si="49"/>
        <v/>
      </c>
      <c r="W50" s="116"/>
      <c r="X50" s="116"/>
      <c r="Y50" s="116"/>
      <c r="Z50" s="118" t="str">
        <f t="shared" si="53"/>
        <v/>
      </c>
      <c r="AA50" s="119" t="str">
        <f t="shared" si="0"/>
        <v/>
      </c>
      <c r="AB50" s="117" t="str">
        <f t="shared" si="50"/>
        <v/>
      </c>
      <c r="AC50" s="119" t="str">
        <f t="shared" si="2"/>
        <v/>
      </c>
      <c r="AD50" s="117" t="str">
        <f t="shared" si="54"/>
        <v/>
      </c>
      <c r="AE50" s="120" t="str">
        <f t="shared" si="55"/>
        <v/>
      </c>
      <c r="AF50" s="116"/>
      <c r="AG50" s="121"/>
      <c r="AH50" s="122"/>
      <c r="AI50" s="123"/>
      <c r="AJ50" s="123"/>
      <c r="AK50" s="121"/>
      <c r="AL50" s="122"/>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row>
    <row r="51" spans="1:70" x14ac:dyDescent="0.3">
      <c r="A51" s="209">
        <v>8</v>
      </c>
      <c r="B51" s="139"/>
      <c r="C51" s="139"/>
      <c r="D51" s="210"/>
      <c r="E51" s="200"/>
      <c r="F51" s="141"/>
      <c r="G51" s="210"/>
      <c r="H51" s="140"/>
      <c r="I51" s="211"/>
      <c r="J51" s="207" t="str">
        <f>IF(I51&lt;=0,"",IF(I51&lt;=2,"Muy Baja",IF(I51&lt;=24,"Baja",IF(I51&lt;=500,"Media",IF(I51&lt;=5000,"Alta","Muy Alta")))))</f>
        <v/>
      </c>
      <c r="K51" s="206" t="str">
        <f>IF(J51="","",IF(J51="Muy Baja",0.2,IF(J51="Baja",0.4,IF(J51="Media",0.6,IF(J51="Alta",0.8,IF(J51="Muy Alta",1,))))))</f>
        <v/>
      </c>
      <c r="L51" s="205"/>
      <c r="M51" s="206">
        <f ca="1">IF(NOT(ISERROR(MATCH(L51,'Tabla Impacto'!$B$221:$B$223,0))),'Tabla Impacto'!$F$223&amp;"Por favor no seleccionar los criterios de impacto(Afectación Económica o presupuestal y Pérdida Reputacional)",L51)</f>
        <v>0</v>
      </c>
      <c r="N51" s="207" t="str">
        <f ca="1">IF(OR(M51='Tabla Impacto'!$C$11,M51='Tabla Impacto'!$D$11),"Leve",IF(OR(M51='Tabla Impacto'!$C$12,M51='Tabla Impacto'!$D$12),"Menor",IF(OR(M51='Tabla Impacto'!$C$13,M51='Tabla Impacto'!$D$13),"Moderado",IF(OR(M51='Tabla Impacto'!$C$14,M51='Tabla Impacto'!$D$14),"Mayor",IF(OR(M51='Tabla Impacto'!$C$15,M51='Tabla Impacto'!$D$15),"Catastrófico","")))))</f>
        <v/>
      </c>
      <c r="O51" s="206" t="str">
        <f ca="1">IF(N51="","",IF(N51="Leve",0.2,IF(N51="Menor",0.4,IF(N51="Moderado",0.6,IF(N51="Mayor",0.8,IF(N51="Catastrófico",1,))))))</f>
        <v/>
      </c>
      <c r="P51" s="208" t="str">
        <f ca="1">IF(OR(AND(J51="Muy Baja",N51="Leve"),AND(J51="Muy Baja",N51="Menor"),AND(J51="Baja",N51="Leve")),"Bajo",IF(OR(AND(J51="Muy baja",N51="Moderado"),AND(J51="Baja",N51="Menor"),AND(J51="Baja",N51="Moderado"),AND(J51="Media",N51="Leve"),AND(J51="Media",N51="Menor"),AND(J51="Media",N51="Moderado"),AND(J51="Alta",N51="Leve"),AND(J51="Alta",N51="Menor")),"Moderado",IF(OR(AND(J51="Muy Baja",N51="Mayor"),AND(J51="Baja",N51="Mayor"),AND(J51="Media",N51="Mayor"),AND(J51="Alta",N51="Moderado"),AND(J51="Alta",N51="Mayor"),AND(J51="Muy Alta",N51="Leve"),AND(J51="Muy Alta",N51="Menor"),AND(J51="Muy Alta",N51="Moderado"),AND(J51="Muy Alta",N51="Mayor")),"Alto",IF(OR(AND(J51="Muy Baja",N51="Catastrófico"),AND(J51="Baja",N51="Catastrófico"),AND(J51="Media",N51="Catastrófico"),AND(J51="Alta",N51="Catastrófico"),AND(J51="Muy Alta",N51="Catastrófico")),"Extremo",""))))</f>
        <v/>
      </c>
      <c r="Q51" s="113">
        <v>1</v>
      </c>
      <c r="R51" s="114"/>
      <c r="S51" s="115" t="str">
        <f>IF(OR(T51="Preventivo",T51="Detectivo"),"Probabilidad",IF(T51="Correctivo","Impacto",""))</f>
        <v/>
      </c>
      <c r="T51" s="116"/>
      <c r="U51" s="116"/>
      <c r="V51" s="117" t="str">
        <f>IF(AND(T51="Preventivo",U51="Automático"),"50%",IF(AND(T51="Preventivo",U51="Manual"),"40%",IF(AND(T51="Detectivo",U51="Automático"),"40%",IF(AND(T51="Detectivo",U51="Manual"),"30%",IF(AND(T51="Correctivo",U51="Automático"),"35%",IF(AND(T51="Correctivo",U51="Manual"),"25%",""))))))</f>
        <v/>
      </c>
      <c r="W51" s="116"/>
      <c r="X51" s="116"/>
      <c r="Y51" s="116"/>
      <c r="Z51" s="118" t="str">
        <f>IFERROR(IF(S51="Probabilidad",(K51-(+K51*V51)),IF(S51="Impacto",K51,"")),"")</f>
        <v/>
      </c>
      <c r="AA51" s="119" t="str">
        <f>IFERROR(IF(Z51="","",IF(Z51&lt;=0.2,"Muy Baja",IF(Z51&lt;=0.4,"Baja",IF(Z51&lt;=0.6,"Media",IF(Z51&lt;=0.8,"Alta","Muy Alta"))))),"")</f>
        <v/>
      </c>
      <c r="AB51" s="117" t="str">
        <f>+Z51</f>
        <v/>
      </c>
      <c r="AC51" s="119" t="str">
        <f>IFERROR(IF(AD51="","",IF(AD51&lt;=0.2,"Leve",IF(AD51&lt;=0.4,"Menor",IF(AD51&lt;=0.6,"Moderado",IF(AD51&lt;=0.8,"Mayor","Catastrófico"))))),"")</f>
        <v/>
      </c>
      <c r="AD51" s="117" t="str">
        <f>IFERROR(IF(S51="Impacto",(O51-(+O51*V51)),IF(S51="Probabilidad",O51,"")),"")</f>
        <v/>
      </c>
      <c r="AE51" s="120" t="str">
        <f>IFERROR(IF(OR(AND(AA51="Muy Baja",AC51="Leve"),AND(AA51="Muy Baja",AC51="Menor"),AND(AA51="Baja",AC51="Leve")),"Bajo",IF(OR(AND(AA51="Muy baja",AC51="Moderado"),AND(AA51="Baja",AC51="Menor"),AND(AA51="Baja",AC51="Moderado"),AND(AA51="Media",AC51="Leve"),AND(AA51="Media",AC51="Menor"),AND(AA51="Media",AC51="Moderado"),AND(AA51="Alta",AC51="Leve"),AND(AA51="Alta",AC51="Menor")),"Moderado",IF(OR(AND(AA51="Muy Baja",AC51="Mayor"),AND(AA51="Baja",AC51="Mayor"),AND(AA51="Media",AC51="Mayor"),AND(AA51="Alta",AC51="Moderado"),AND(AA51="Alta",AC51="Mayor"),AND(AA51="Muy Alta",AC51="Leve"),AND(AA51="Muy Alta",AC51="Menor"),AND(AA51="Muy Alta",AC51="Moderado"),AND(AA51="Muy Alta",AC51="Mayor")),"Alto",IF(OR(AND(AA51="Muy Baja",AC51="Catastrófico"),AND(AA51="Baja",AC51="Catastrófico"),AND(AA51="Media",AC51="Catastrófico"),AND(AA51="Alta",AC51="Catastrófico"),AND(AA51="Muy Alta",AC51="Catastrófico")),"Extremo","")))),"")</f>
        <v/>
      </c>
      <c r="AF51" s="116"/>
      <c r="AG51" s="121"/>
      <c r="AH51" s="122"/>
      <c r="AI51" s="123"/>
      <c r="AJ51" s="123"/>
      <c r="AK51" s="121"/>
      <c r="AL51" s="122"/>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row>
    <row r="52" spans="1:70" x14ac:dyDescent="0.3">
      <c r="A52" s="209"/>
      <c r="B52" s="139"/>
      <c r="C52" s="139"/>
      <c r="D52" s="210"/>
      <c r="E52" s="200"/>
      <c r="F52" s="141"/>
      <c r="G52" s="210"/>
      <c r="H52" s="140"/>
      <c r="I52" s="211"/>
      <c r="J52" s="207"/>
      <c r="K52" s="206"/>
      <c r="L52" s="205"/>
      <c r="M52" s="206">
        <f ca="1">IF(NOT(ISERROR(MATCH(L52,_xlfn.ANCHORARRAY(E63),0))),K65&amp;"Por favor no seleccionar los criterios de impacto",L52)</f>
        <v>0</v>
      </c>
      <c r="N52" s="207"/>
      <c r="O52" s="206"/>
      <c r="P52" s="208"/>
      <c r="Q52" s="113">
        <v>2</v>
      </c>
      <c r="R52" s="114"/>
      <c r="S52" s="115" t="str">
        <f>IF(OR(T52="Preventivo",T52="Detectivo"),"Probabilidad",IF(T52="Correctivo","Impacto",""))</f>
        <v/>
      </c>
      <c r="T52" s="116"/>
      <c r="U52" s="116"/>
      <c r="V52" s="117" t="str">
        <f t="shared" ref="V52:V56" si="56">IF(AND(T52="Preventivo",U52="Automático"),"50%",IF(AND(T52="Preventivo",U52="Manual"),"40%",IF(AND(T52="Detectivo",U52="Automático"),"40%",IF(AND(T52="Detectivo",U52="Manual"),"30%",IF(AND(T52="Correctivo",U52="Automático"),"35%",IF(AND(T52="Correctivo",U52="Manual"),"25%",""))))))</f>
        <v/>
      </c>
      <c r="W52" s="116"/>
      <c r="X52" s="116"/>
      <c r="Y52" s="116"/>
      <c r="Z52" s="118" t="str">
        <f>IFERROR(IF(AND(S51="Probabilidad",S52="Probabilidad"),(AB51-(+AB51*V52)),IF(S52="Probabilidad",(K51-(+K51*V52)),IF(S52="Impacto",AB51,""))),"")</f>
        <v/>
      </c>
      <c r="AA52" s="119" t="str">
        <f t="shared" si="0"/>
        <v/>
      </c>
      <c r="AB52" s="117" t="str">
        <f t="shared" ref="AB52:AB56" si="57">+Z52</f>
        <v/>
      </c>
      <c r="AC52" s="119" t="str">
        <f t="shared" si="2"/>
        <v/>
      </c>
      <c r="AD52" s="117" t="str">
        <f>IFERROR(IF(AND(S51="Impacto",S52="Impacto"),(AD45-(+AD45*V52)),IF(S52="Impacto",($O$51-(+$O$51*V52)),IF(S52="Probabilidad",AD45,""))),"")</f>
        <v/>
      </c>
      <c r="AE52" s="120" t="str">
        <f t="shared" ref="AE52:AE53" si="58">IFERROR(IF(OR(AND(AA52="Muy Baja",AC52="Leve"),AND(AA52="Muy Baja",AC52="Menor"),AND(AA52="Baja",AC52="Leve")),"Bajo",IF(OR(AND(AA52="Muy baja",AC52="Moderado"),AND(AA52="Baja",AC52="Menor"),AND(AA52="Baja",AC52="Moderado"),AND(AA52="Media",AC52="Leve"),AND(AA52="Media",AC52="Menor"),AND(AA52="Media",AC52="Moderado"),AND(AA52="Alta",AC52="Leve"),AND(AA52="Alta",AC52="Menor")),"Moderado",IF(OR(AND(AA52="Muy Baja",AC52="Mayor"),AND(AA52="Baja",AC52="Mayor"),AND(AA52="Media",AC52="Mayor"),AND(AA52="Alta",AC52="Moderado"),AND(AA52="Alta",AC52="Mayor"),AND(AA52="Muy Alta",AC52="Leve"),AND(AA52="Muy Alta",AC52="Menor"),AND(AA52="Muy Alta",AC52="Moderado"),AND(AA52="Muy Alta",AC52="Mayor")),"Alto",IF(OR(AND(AA52="Muy Baja",AC52="Catastrófico"),AND(AA52="Baja",AC52="Catastrófico"),AND(AA52="Media",AC52="Catastrófico"),AND(AA52="Alta",AC52="Catastrófico"),AND(AA52="Muy Alta",AC52="Catastrófico")),"Extremo","")))),"")</f>
        <v/>
      </c>
      <c r="AF52" s="116"/>
      <c r="AG52" s="121"/>
      <c r="AH52" s="122"/>
      <c r="AI52" s="123"/>
      <c r="AJ52" s="123"/>
      <c r="AK52" s="121"/>
      <c r="AL52" s="122"/>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row>
    <row r="53" spans="1:70" x14ac:dyDescent="0.3">
      <c r="A53" s="209"/>
      <c r="B53" s="139"/>
      <c r="C53" s="139"/>
      <c r="D53" s="210"/>
      <c r="E53" s="200"/>
      <c r="F53" s="141"/>
      <c r="G53" s="210"/>
      <c r="H53" s="140"/>
      <c r="I53" s="211"/>
      <c r="J53" s="207"/>
      <c r="K53" s="206"/>
      <c r="L53" s="205"/>
      <c r="M53" s="206">
        <f ca="1">IF(NOT(ISERROR(MATCH(L53,_xlfn.ANCHORARRAY(E64),0))),K66&amp;"Por favor no seleccionar los criterios de impacto",L53)</f>
        <v>0</v>
      </c>
      <c r="N53" s="207"/>
      <c r="O53" s="206"/>
      <c r="P53" s="208"/>
      <c r="Q53" s="113">
        <v>3</v>
      </c>
      <c r="R53" s="126"/>
      <c r="S53" s="115" t="str">
        <f>IF(OR(T53="Preventivo",T53="Detectivo"),"Probabilidad",IF(T53="Correctivo","Impacto",""))</f>
        <v/>
      </c>
      <c r="T53" s="116"/>
      <c r="U53" s="116"/>
      <c r="V53" s="117" t="str">
        <f t="shared" si="56"/>
        <v/>
      </c>
      <c r="W53" s="116"/>
      <c r="X53" s="116"/>
      <c r="Y53" s="116"/>
      <c r="Z53" s="118" t="str">
        <f>IFERROR(IF(AND(S52="Probabilidad",S53="Probabilidad"),(AB52-(+AB52*V53)),IF(AND(S52="Impacto",S53="Probabilidad"),(AB51-(+AB51*V53)),IF(S53="Impacto",AB52,""))),"")</f>
        <v/>
      </c>
      <c r="AA53" s="119" t="str">
        <f t="shared" si="0"/>
        <v/>
      </c>
      <c r="AB53" s="117" t="str">
        <f t="shared" si="57"/>
        <v/>
      </c>
      <c r="AC53" s="119" t="str">
        <f t="shared" si="2"/>
        <v/>
      </c>
      <c r="AD53" s="117" t="str">
        <f>IFERROR(IF(AND(S52="Impacto",S53="Impacto"),(AD52-(+AD52*V53)),IF(AND(S52="Probabilidad",S53="Impacto"),(AD51-(+AD51*V53)),IF(S53="Probabilidad",AD52,""))),"")</f>
        <v/>
      </c>
      <c r="AE53" s="120" t="str">
        <f t="shared" si="58"/>
        <v/>
      </c>
      <c r="AF53" s="116"/>
      <c r="AG53" s="121"/>
      <c r="AH53" s="122"/>
      <c r="AI53" s="123"/>
      <c r="AJ53" s="123"/>
      <c r="AK53" s="121"/>
      <c r="AL53" s="122"/>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row>
    <row r="54" spans="1:70" x14ac:dyDescent="0.3">
      <c r="A54" s="209"/>
      <c r="B54" s="139"/>
      <c r="C54" s="139"/>
      <c r="D54" s="210"/>
      <c r="E54" s="200"/>
      <c r="F54" s="141"/>
      <c r="G54" s="210"/>
      <c r="H54" s="140"/>
      <c r="I54" s="211"/>
      <c r="J54" s="207"/>
      <c r="K54" s="206"/>
      <c r="L54" s="205"/>
      <c r="M54" s="206">
        <f ca="1">IF(NOT(ISERROR(MATCH(L54,_xlfn.ANCHORARRAY(E65),0))),K67&amp;"Por favor no seleccionar los criterios de impacto",L54)</f>
        <v>0</v>
      </c>
      <c r="N54" s="207"/>
      <c r="O54" s="206"/>
      <c r="P54" s="208"/>
      <c r="Q54" s="113">
        <v>4</v>
      </c>
      <c r="R54" s="114"/>
      <c r="S54" s="115" t="str">
        <f t="shared" ref="S54:S56" si="59">IF(OR(T54="Preventivo",T54="Detectivo"),"Probabilidad",IF(T54="Correctivo","Impacto",""))</f>
        <v/>
      </c>
      <c r="T54" s="116"/>
      <c r="U54" s="116"/>
      <c r="V54" s="117" t="str">
        <f t="shared" si="56"/>
        <v/>
      </c>
      <c r="W54" s="116"/>
      <c r="X54" s="116"/>
      <c r="Y54" s="116"/>
      <c r="Z54" s="118" t="str">
        <f t="shared" ref="Z54:Z56" si="60">IFERROR(IF(AND(S53="Probabilidad",S54="Probabilidad"),(AB53-(+AB53*V54)),IF(AND(S53="Impacto",S54="Probabilidad"),(AB52-(+AB52*V54)),IF(S54="Impacto",AB53,""))),"")</f>
        <v/>
      </c>
      <c r="AA54" s="119" t="str">
        <f t="shared" si="0"/>
        <v/>
      </c>
      <c r="AB54" s="117" t="str">
        <f t="shared" si="57"/>
        <v/>
      </c>
      <c r="AC54" s="119" t="str">
        <f t="shared" si="2"/>
        <v/>
      </c>
      <c r="AD54" s="117" t="str">
        <f t="shared" ref="AD54:AD56" si="61">IFERROR(IF(AND(S53="Impacto",S54="Impacto"),(AD53-(+AD53*V54)),IF(AND(S53="Probabilidad",S54="Impacto"),(AD52-(+AD52*V54)),IF(S54="Probabilidad",AD53,""))),"")</f>
        <v/>
      </c>
      <c r="AE54" s="120" t="str">
        <f>IFERROR(IF(OR(AND(AA54="Muy Baja",AC54="Leve"),AND(AA54="Muy Baja",AC54="Menor"),AND(AA54="Baja",AC54="Leve")),"Bajo",IF(OR(AND(AA54="Muy baja",AC54="Moderado"),AND(AA54="Baja",AC54="Menor"),AND(AA54="Baja",AC54="Moderado"),AND(AA54="Media",AC54="Leve"),AND(AA54="Media",AC54="Menor"),AND(AA54="Media",AC54="Moderado"),AND(AA54="Alta",AC54="Leve"),AND(AA54="Alta",AC54="Menor")),"Moderado",IF(OR(AND(AA54="Muy Baja",AC54="Mayor"),AND(AA54="Baja",AC54="Mayor"),AND(AA54="Media",AC54="Mayor"),AND(AA54="Alta",AC54="Moderado"),AND(AA54="Alta",AC54="Mayor"),AND(AA54="Muy Alta",AC54="Leve"),AND(AA54="Muy Alta",AC54="Menor"),AND(AA54="Muy Alta",AC54="Moderado"),AND(AA54="Muy Alta",AC54="Mayor")),"Alto",IF(OR(AND(AA54="Muy Baja",AC54="Catastrófico"),AND(AA54="Baja",AC54="Catastrófico"),AND(AA54="Media",AC54="Catastrófico"),AND(AA54="Alta",AC54="Catastrófico"),AND(AA54="Muy Alta",AC54="Catastrófico")),"Extremo","")))),"")</f>
        <v/>
      </c>
      <c r="AF54" s="116"/>
      <c r="AG54" s="121"/>
      <c r="AH54" s="122"/>
      <c r="AI54" s="123"/>
      <c r="AJ54" s="123"/>
      <c r="AK54" s="121"/>
      <c r="AL54" s="122"/>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row>
    <row r="55" spans="1:70" x14ac:dyDescent="0.3">
      <c r="A55" s="209"/>
      <c r="B55" s="139"/>
      <c r="C55" s="139"/>
      <c r="D55" s="210"/>
      <c r="E55" s="200"/>
      <c r="F55" s="141"/>
      <c r="G55" s="210"/>
      <c r="H55" s="140"/>
      <c r="I55" s="211"/>
      <c r="J55" s="207"/>
      <c r="K55" s="206"/>
      <c r="L55" s="205"/>
      <c r="M55" s="206">
        <f ca="1">IF(NOT(ISERROR(MATCH(L55,_xlfn.ANCHORARRAY(E66),0))),K68&amp;"Por favor no seleccionar los criterios de impacto",L55)</f>
        <v>0</v>
      </c>
      <c r="N55" s="207"/>
      <c r="O55" s="206"/>
      <c r="P55" s="208"/>
      <c r="Q55" s="113">
        <v>5</v>
      </c>
      <c r="R55" s="114"/>
      <c r="S55" s="115" t="str">
        <f t="shared" si="59"/>
        <v/>
      </c>
      <c r="T55" s="116"/>
      <c r="U55" s="116"/>
      <c r="V55" s="117" t="str">
        <f t="shared" si="56"/>
        <v/>
      </c>
      <c r="W55" s="116"/>
      <c r="X55" s="116"/>
      <c r="Y55" s="116"/>
      <c r="Z55" s="118" t="str">
        <f t="shared" si="60"/>
        <v/>
      </c>
      <c r="AA55" s="119" t="str">
        <f t="shared" si="0"/>
        <v/>
      </c>
      <c r="AB55" s="117" t="str">
        <f t="shared" si="57"/>
        <v/>
      </c>
      <c r="AC55" s="119" t="str">
        <f t="shared" si="2"/>
        <v/>
      </c>
      <c r="AD55" s="117" t="str">
        <f t="shared" si="61"/>
        <v/>
      </c>
      <c r="AE55" s="120" t="str">
        <f t="shared" ref="AE55:AE56" si="62">IFERROR(IF(OR(AND(AA55="Muy Baja",AC55="Leve"),AND(AA55="Muy Baja",AC55="Menor"),AND(AA55="Baja",AC55="Leve")),"Bajo",IF(OR(AND(AA55="Muy baja",AC55="Moderado"),AND(AA55="Baja",AC55="Menor"),AND(AA55="Baja",AC55="Moderado"),AND(AA55="Media",AC55="Leve"),AND(AA55="Media",AC55="Menor"),AND(AA55="Media",AC55="Moderado"),AND(AA55="Alta",AC55="Leve"),AND(AA55="Alta",AC55="Menor")),"Moderado",IF(OR(AND(AA55="Muy Baja",AC55="Mayor"),AND(AA55="Baja",AC55="Mayor"),AND(AA55="Media",AC55="Mayor"),AND(AA55="Alta",AC55="Moderado"),AND(AA55="Alta",AC55="Mayor"),AND(AA55="Muy Alta",AC55="Leve"),AND(AA55="Muy Alta",AC55="Menor"),AND(AA55="Muy Alta",AC55="Moderado"),AND(AA55="Muy Alta",AC55="Mayor")),"Alto",IF(OR(AND(AA55="Muy Baja",AC55="Catastrófico"),AND(AA55="Baja",AC55="Catastrófico"),AND(AA55="Media",AC55="Catastrófico"),AND(AA55="Alta",AC55="Catastrófico"),AND(AA55="Muy Alta",AC55="Catastrófico")),"Extremo","")))),"")</f>
        <v/>
      </c>
      <c r="AF55" s="116"/>
      <c r="AG55" s="121"/>
      <c r="AH55" s="122"/>
      <c r="AI55" s="123"/>
      <c r="AJ55" s="123"/>
      <c r="AK55" s="121"/>
      <c r="AL55" s="122"/>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row>
    <row r="56" spans="1:70" x14ac:dyDescent="0.3">
      <c r="A56" s="209"/>
      <c r="B56" s="139"/>
      <c r="C56" s="139"/>
      <c r="D56" s="210"/>
      <c r="E56" s="200"/>
      <c r="F56" s="141"/>
      <c r="G56" s="210"/>
      <c r="H56" s="140"/>
      <c r="I56" s="211"/>
      <c r="J56" s="207"/>
      <c r="K56" s="206"/>
      <c r="L56" s="205"/>
      <c r="M56" s="206">
        <f ca="1">IF(NOT(ISERROR(MATCH(L56,_xlfn.ANCHORARRAY(E67),0))),K70&amp;"Por favor no seleccionar los criterios de impacto",L56)</f>
        <v>0</v>
      </c>
      <c r="N56" s="207"/>
      <c r="O56" s="206"/>
      <c r="P56" s="208"/>
      <c r="Q56" s="113">
        <v>6</v>
      </c>
      <c r="R56" s="114"/>
      <c r="S56" s="115" t="str">
        <f t="shared" si="59"/>
        <v/>
      </c>
      <c r="T56" s="116"/>
      <c r="U56" s="116"/>
      <c r="V56" s="117" t="str">
        <f t="shared" si="56"/>
        <v/>
      </c>
      <c r="W56" s="116"/>
      <c r="X56" s="116"/>
      <c r="Y56" s="116"/>
      <c r="Z56" s="118" t="str">
        <f t="shared" si="60"/>
        <v/>
      </c>
      <c r="AA56" s="119" t="str">
        <f t="shared" si="0"/>
        <v/>
      </c>
      <c r="AB56" s="117" t="str">
        <f t="shared" si="57"/>
        <v/>
      </c>
      <c r="AC56" s="119" t="str">
        <f t="shared" si="2"/>
        <v/>
      </c>
      <c r="AD56" s="117" t="str">
        <f t="shared" si="61"/>
        <v/>
      </c>
      <c r="AE56" s="120" t="str">
        <f t="shared" si="62"/>
        <v/>
      </c>
      <c r="AF56" s="116"/>
      <c r="AG56" s="121"/>
      <c r="AH56" s="122"/>
      <c r="AI56" s="123"/>
      <c r="AJ56" s="123"/>
      <c r="AK56" s="121"/>
      <c r="AL56" s="122"/>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row>
    <row r="57" spans="1:70" x14ac:dyDescent="0.3">
      <c r="A57" s="209">
        <v>9</v>
      </c>
      <c r="B57" s="139"/>
      <c r="C57" s="139"/>
      <c r="D57" s="210"/>
      <c r="E57" s="200"/>
      <c r="F57" s="141"/>
      <c r="G57" s="210"/>
      <c r="H57" s="140"/>
      <c r="I57" s="211"/>
      <c r="J57" s="207" t="str">
        <f>IF(I57&lt;=0,"",IF(I57&lt;=2,"Muy Baja",IF(I57&lt;=24,"Baja",IF(I57&lt;=500,"Media",IF(I57&lt;=5000,"Alta","Muy Alta")))))</f>
        <v/>
      </c>
      <c r="K57" s="206" t="str">
        <f>IF(J57="","",IF(J57="Muy Baja",0.2,IF(J57="Baja",0.4,IF(J57="Media",0.6,IF(J57="Alta",0.8,IF(J57="Muy Alta",1,))))))</f>
        <v/>
      </c>
      <c r="L57" s="205"/>
      <c r="M57" s="206">
        <f ca="1">IF(NOT(ISERROR(MATCH(L57,'Tabla Impacto'!$B$221:$B$223,0))),'Tabla Impacto'!$F$223&amp;"Por favor no seleccionar los criterios de impacto(Afectación Económica o presupuestal y Pérdida Reputacional)",L57)</f>
        <v>0</v>
      </c>
      <c r="N57" s="207" t="str">
        <f ca="1">IF(OR(M57='Tabla Impacto'!$C$11,M57='Tabla Impacto'!$D$11),"Leve",IF(OR(M57='Tabla Impacto'!$C$12,M57='Tabla Impacto'!$D$12),"Menor",IF(OR(M57='Tabla Impacto'!$C$13,M57='Tabla Impacto'!$D$13),"Moderado",IF(OR(M57='Tabla Impacto'!$C$14,M57='Tabla Impacto'!$D$14),"Mayor",IF(OR(M57='Tabla Impacto'!$C$15,M57='Tabla Impacto'!$D$15),"Catastrófico","")))))</f>
        <v/>
      </c>
      <c r="O57" s="206" t="str">
        <f ca="1">IF(N57="","",IF(N57="Leve",0.2,IF(N57="Menor",0.4,IF(N57="Moderado",0.6,IF(N57="Mayor",0.8,IF(N57="Catastrófico",1,))))))</f>
        <v/>
      </c>
      <c r="P57" s="208" t="str">
        <f ca="1">IF(OR(AND(J57="Muy Baja",N57="Leve"),AND(J57="Muy Baja",N57="Menor"),AND(J57="Baja",N57="Leve")),"Bajo",IF(OR(AND(J57="Muy baja",N57="Moderado"),AND(J57="Baja",N57="Menor"),AND(J57="Baja",N57="Moderado"),AND(J57="Media",N57="Leve"),AND(J57="Media",N57="Menor"),AND(J57="Media",N57="Moderado"),AND(J57="Alta",N57="Leve"),AND(J57="Alta",N57="Menor")),"Moderado",IF(OR(AND(J57="Muy Baja",N57="Mayor"),AND(J57="Baja",N57="Mayor"),AND(J57="Media",N57="Mayor"),AND(J57="Alta",N57="Moderado"),AND(J57="Alta",N57="Mayor"),AND(J57="Muy Alta",N57="Leve"),AND(J57="Muy Alta",N57="Menor"),AND(J57="Muy Alta",N57="Moderado"),AND(J57="Muy Alta",N57="Mayor")),"Alto",IF(OR(AND(J57="Muy Baja",N57="Catastrófico"),AND(J57="Baja",N57="Catastrófico"),AND(J57="Media",N57="Catastrófico"),AND(J57="Alta",N57="Catastrófico"),AND(J57="Muy Alta",N57="Catastrófico")),"Extremo",""))))</f>
        <v/>
      </c>
      <c r="Q57" s="113">
        <v>1</v>
      </c>
      <c r="R57" s="114"/>
      <c r="S57" s="115" t="str">
        <f>IF(OR(T57="Preventivo",T57="Detectivo"),"Probabilidad",IF(T57="Correctivo","Impacto",""))</f>
        <v/>
      </c>
      <c r="T57" s="116"/>
      <c r="U57" s="116"/>
      <c r="V57" s="117" t="str">
        <f>IF(AND(T57="Preventivo",U57="Automático"),"50%",IF(AND(T57="Preventivo",U57="Manual"),"40%",IF(AND(T57="Detectivo",U57="Automático"),"40%",IF(AND(T57="Detectivo",U57="Manual"),"30%",IF(AND(T57="Correctivo",U57="Automático"),"35%",IF(AND(T57="Correctivo",U57="Manual"),"25%",""))))))</f>
        <v/>
      </c>
      <c r="W57" s="116"/>
      <c r="X57" s="116"/>
      <c r="Y57" s="116"/>
      <c r="Z57" s="118" t="str">
        <f>IFERROR(IF(S57="Probabilidad",(K57-(+K57*V57)),IF(S57="Impacto",K57,"")),"")</f>
        <v/>
      </c>
      <c r="AA57" s="119" t="str">
        <f>IFERROR(IF(Z57="","",IF(Z57&lt;=0.2,"Muy Baja",IF(Z57&lt;=0.4,"Baja",IF(Z57&lt;=0.6,"Media",IF(Z57&lt;=0.8,"Alta","Muy Alta"))))),"")</f>
        <v/>
      </c>
      <c r="AB57" s="117" t="str">
        <f>+Z57</f>
        <v/>
      </c>
      <c r="AC57" s="119" t="str">
        <f>IFERROR(IF(AD57="","",IF(AD57&lt;=0.2,"Leve",IF(AD57&lt;=0.4,"Menor",IF(AD57&lt;=0.6,"Moderado",IF(AD57&lt;=0.8,"Mayor","Catastrófico"))))),"")</f>
        <v/>
      </c>
      <c r="AD57" s="117" t="str">
        <f>IFERROR(IF(S57="Impacto",(O57-(+O57*V57)),IF(S57="Probabilidad",O57,"")),"")</f>
        <v/>
      </c>
      <c r="AE57" s="120" t="str">
        <f>IFERROR(IF(OR(AND(AA57="Muy Baja",AC57="Leve"),AND(AA57="Muy Baja",AC57="Menor"),AND(AA57="Baja",AC57="Leve")),"Bajo",IF(OR(AND(AA57="Muy baja",AC57="Moderado"),AND(AA57="Baja",AC57="Menor"),AND(AA57="Baja",AC57="Moderado"),AND(AA57="Media",AC57="Leve"),AND(AA57="Media",AC57="Menor"),AND(AA57="Media",AC57="Moderado"),AND(AA57="Alta",AC57="Leve"),AND(AA57="Alta",AC57="Menor")),"Moderado",IF(OR(AND(AA57="Muy Baja",AC57="Mayor"),AND(AA57="Baja",AC57="Mayor"),AND(AA57="Media",AC57="Mayor"),AND(AA57="Alta",AC57="Moderado"),AND(AA57="Alta",AC57="Mayor"),AND(AA57="Muy Alta",AC57="Leve"),AND(AA57="Muy Alta",AC57="Menor"),AND(AA57="Muy Alta",AC57="Moderado"),AND(AA57="Muy Alta",AC57="Mayor")),"Alto",IF(OR(AND(AA57="Muy Baja",AC57="Catastrófico"),AND(AA57="Baja",AC57="Catastrófico"),AND(AA57="Media",AC57="Catastrófico"),AND(AA57="Alta",AC57="Catastrófico"),AND(AA57="Muy Alta",AC57="Catastrófico")),"Extremo","")))),"")</f>
        <v/>
      </c>
      <c r="AF57" s="116"/>
      <c r="AG57" s="121"/>
      <c r="AH57" s="122"/>
      <c r="AI57" s="123"/>
      <c r="AJ57" s="123"/>
      <c r="AK57" s="121"/>
      <c r="AL57" s="122"/>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row>
    <row r="58" spans="1:70" x14ac:dyDescent="0.3">
      <c r="A58" s="209"/>
      <c r="B58" s="139"/>
      <c r="C58" s="139"/>
      <c r="D58" s="210"/>
      <c r="E58" s="200"/>
      <c r="F58" s="141"/>
      <c r="G58" s="210"/>
      <c r="H58" s="140"/>
      <c r="I58" s="211"/>
      <c r="J58" s="207"/>
      <c r="K58" s="206"/>
      <c r="L58" s="205"/>
      <c r="M58" s="206">
        <f ca="1">IF(NOT(ISERROR(MATCH(L58,_xlfn.ANCHORARRAY(E70),0))),K72&amp;"Por favor no seleccionar los criterios de impacto",L58)</f>
        <v>0</v>
      </c>
      <c r="N58" s="207"/>
      <c r="O58" s="206"/>
      <c r="P58" s="208"/>
      <c r="Q58" s="113">
        <v>2</v>
      </c>
      <c r="R58" s="114"/>
      <c r="S58" s="115" t="str">
        <f>IF(OR(T58="Preventivo",T58="Detectivo"),"Probabilidad",IF(T58="Correctivo","Impacto",""))</f>
        <v/>
      </c>
      <c r="T58" s="116"/>
      <c r="U58" s="116"/>
      <c r="V58" s="117" t="str">
        <f t="shared" ref="V58:V62" si="63">IF(AND(T58="Preventivo",U58="Automático"),"50%",IF(AND(T58="Preventivo",U58="Manual"),"40%",IF(AND(T58="Detectivo",U58="Automático"),"40%",IF(AND(T58="Detectivo",U58="Manual"),"30%",IF(AND(T58="Correctivo",U58="Automático"),"35%",IF(AND(T58="Correctivo",U58="Manual"),"25%",""))))))</f>
        <v/>
      </c>
      <c r="W58" s="116"/>
      <c r="X58" s="116"/>
      <c r="Y58" s="116"/>
      <c r="Z58" s="118" t="str">
        <f>IFERROR(IF(AND(S57="Probabilidad",S58="Probabilidad"),(AB57-(+AB57*V58)),IF(S58="Probabilidad",(K57-(+K57*V58)),IF(S58="Impacto",AB57,""))),"")</f>
        <v/>
      </c>
      <c r="AA58" s="119" t="str">
        <f t="shared" si="0"/>
        <v/>
      </c>
      <c r="AB58" s="117" t="str">
        <f t="shared" ref="AB58:AB62" si="64">+Z58</f>
        <v/>
      </c>
      <c r="AC58" s="119" t="str">
        <f t="shared" si="2"/>
        <v/>
      </c>
      <c r="AD58" s="117" t="str">
        <f>IFERROR(IF(AND(S57="Impacto",S58="Impacto"),(AD51-(+AD51*V58)),IF(S58="Impacto",($O$57-(+$O$57*V58)),IF(S58="Probabilidad",AD51,""))),"")</f>
        <v/>
      </c>
      <c r="AE58" s="120" t="str">
        <f t="shared" ref="AE58:AE59" si="65">IFERROR(IF(OR(AND(AA58="Muy Baja",AC58="Leve"),AND(AA58="Muy Baja",AC58="Menor"),AND(AA58="Baja",AC58="Leve")),"Bajo",IF(OR(AND(AA58="Muy baja",AC58="Moderado"),AND(AA58="Baja",AC58="Menor"),AND(AA58="Baja",AC58="Moderado"),AND(AA58="Media",AC58="Leve"),AND(AA58="Media",AC58="Menor"),AND(AA58="Media",AC58="Moderado"),AND(AA58="Alta",AC58="Leve"),AND(AA58="Alta",AC58="Menor")),"Moderado",IF(OR(AND(AA58="Muy Baja",AC58="Mayor"),AND(AA58="Baja",AC58="Mayor"),AND(AA58="Media",AC58="Mayor"),AND(AA58="Alta",AC58="Moderado"),AND(AA58="Alta",AC58="Mayor"),AND(AA58="Muy Alta",AC58="Leve"),AND(AA58="Muy Alta",AC58="Menor"),AND(AA58="Muy Alta",AC58="Moderado"),AND(AA58="Muy Alta",AC58="Mayor")),"Alto",IF(OR(AND(AA58="Muy Baja",AC58="Catastrófico"),AND(AA58="Baja",AC58="Catastrófico"),AND(AA58="Media",AC58="Catastrófico"),AND(AA58="Alta",AC58="Catastrófico"),AND(AA58="Muy Alta",AC58="Catastrófico")),"Extremo","")))),"")</f>
        <v/>
      </c>
      <c r="AF58" s="116"/>
      <c r="AG58" s="121"/>
      <c r="AH58" s="122"/>
      <c r="AI58" s="123"/>
      <c r="AJ58" s="123"/>
      <c r="AK58" s="121"/>
      <c r="AL58" s="122"/>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row>
    <row r="59" spans="1:70" x14ac:dyDescent="0.3">
      <c r="A59" s="209"/>
      <c r="B59" s="139"/>
      <c r="C59" s="139"/>
      <c r="D59" s="210"/>
      <c r="E59" s="200"/>
      <c r="F59" s="141"/>
      <c r="G59" s="210"/>
      <c r="H59" s="140"/>
      <c r="I59" s="211"/>
      <c r="J59" s="207"/>
      <c r="K59" s="206"/>
      <c r="L59" s="205"/>
      <c r="M59" s="206">
        <f ca="1">IF(NOT(ISERROR(MATCH(L59,_xlfn.ANCHORARRAY(E71),0))),K73&amp;"Por favor no seleccionar los criterios de impacto",L59)</f>
        <v>0</v>
      </c>
      <c r="N59" s="207"/>
      <c r="O59" s="206"/>
      <c r="P59" s="208"/>
      <c r="Q59" s="113">
        <v>3</v>
      </c>
      <c r="R59" s="126"/>
      <c r="S59" s="115" t="str">
        <f>IF(OR(T59="Preventivo",T59="Detectivo"),"Probabilidad",IF(T59="Correctivo","Impacto",""))</f>
        <v/>
      </c>
      <c r="T59" s="116"/>
      <c r="U59" s="116"/>
      <c r="V59" s="117" t="str">
        <f t="shared" si="63"/>
        <v/>
      </c>
      <c r="W59" s="116"/>
      <c r="X59" s="116"/>
      <c r="Y59" s="116"/>
      <c r="Z59" s="118" t="str">
        <f>IFERROR(IF(AND(S58="Probabilidad",S59="Probabilidad"),(AB58-(+AB58*V59)),IF(AND(S58="Impacto",S59="Probabilidad"),(AB57-(+AB57*V59)),IF(S59="Impacto",AB58,""))),"")</f>
        <v/>
      </c>
      <c r="AA59" s="119" t="str">
        <f t="shared" si="0"/>
        <v/>
      </c>
      <c r="AB59" s="117" t="str">
        <f t="shared" si="64"/>
        <v/>
      </c>
      <c r="AC59" s="119" t="str">
        <f t="shared" si="2"/>
        <v/>
      </c>
      <c r="AD59" s="117" t="str">
        <f>IFERROR(IF(AND(S58="Impacto",S59="Impacto"),(AD58-(+AD58*V59)),IF(AND(S58="Probabilidad",S59="Impacto"),(AD57-(+AD57*V59)),IF(S59="Probabilidad",AD58,""))),"")</f>
        <v/>
      </c>
      <c r="AE59" s="120" t="str">
        <f t="shared" si="65"/>
        <v/>
      </c>
      <c r="AF59" s="116"/>
      <c r="AG59" s="121"/>
      <c r="AH59" s="122"/>
      <c r="AI59" s="123"/>
      <c r="AJ59" s="123"/>
      <c r="AK59" s="121"/>
      <c r="AL59" s="122"/>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row>
    <row r="60" spans="1:70" x14ac:dyDescent="0.3">
      <c r="A60" s="209"/>
      <c r="B60" s="139"/>
      <c r="C60" s="139"/>
      <c r="D60" s="210"/>
      <c r="E60" s="200"/>
      <c r="F60" s="141"/>
      <c r="G60" s="210"/>
      <c r="H60" s="140"/>
      <c r="I60" s="211"/>
      <c r="J60" s="207"/>
      <c r="K60" s="206"/>
      <c r="L60" s="205"/>
      <c r="M60" s="206">
        <f ca="1">IF(NOT(ISERROR(MATCH(L60,_xlfn.ANCHORARRAY(E72),0))),K74&amp;"Por favor no seleccionar los criterios de impacto",L60)</f>
        <v>0</v>
      </c>
      <c r="N60" s="207"/>
      <c r="O60" s="206"/>
      <c r="P60" s="208"/>
      <c r="Q60" s="113">
        <v>4</v>
      </c>
      <c r="R60" s="114"/>
      <c r="S60" s="115" t="str">
        <f t="shared" ref="S60:S62" si="66">IF(OR(T60="Preventivo",T60="Detectivo"),"Probabilidad",IF(T60="Correctivo","Impacto",""))</f>
        <v/>
      </c>
      <c r="T60" s="116"/>
      <c r="U60" s="116"/>
      <c r="V60" s="117" t="str">
        <f t="shared" si="63"/>
        <v/>
      </c>
      <c r="W60" s="116"/>
      <c r="X60" s="116"/>
      <c r="Y60" s="116"/>
      <c r="Z60" s="118" t="str">
        <f t="shared" ref="Z60:Z62" si="67">IFERROR(IF(AND(S59="Probabilidad",S60="Probabilidad"),(AB59-(+AB59*V60)),IF(AND(S59="Impacto",S60="Probabilidad"),(AB58-(+AB58*V60)),IF(S60="Impacto",AB59,""))),"")</f>
        <v/>
      </c>
      <c r="AA60" s="119" t="str">
        <f t="shared" si="0"/>
        <v/>
      </c>
      <c r="AB60" s="117" t="str">
        <f t="shared" si="64"/>
        <v/>
      </c>
      <c r="AC60" s="119" t="str">
        <f t="shared" si="2"/>
        <v/>
      </c>
      <c r="AD60" s="117" t="str">
        <f t="shared" ref="AD60:AD62" si="68">IFERROR(IF(AND(S59="Impacto",S60="Impacto"),(AD59-(+AD59*V60)),IF(AND(S59="Probabilidad",S60="Impacto"),(AD58-(+AD58*V60)),IF(S60="Probabilidad",AD59,""))),"")</f>
        <v/>
      </c>
      <c r="AE60" s="120" t="str">
        <f>IFERROR(IF(OR(AND(AA60="Muy Baja",AC60="Leve"),AND(AA60="Muy Baja",AC60="Menor"),AND(AA60="Baja",AC60="Leve")),"Bajo",IF(OR(AND(AA60="Muy baja",AC60="Moderado"),AND(AA60="Baja",AC60="Menor"),AND(AA60="Baja",AC60="Moderado"),AND(AA60="Media",AC60="Leve"),AND(AA60="Media",AC60="Menor"),AND(AA60="Media",AC60="Moderado"),AND(AA60="Alta",AC60="Leve"),AND(AA60="Alta",AC60="Menor")),"Moderado",IF(OR(AND(AA60="Muy Baja",AC60="Mayor"),AND(AA60="Baja",AC60="Mayor"),AND(AA60="Media",AC60="Mayor"),AND(AA60="Alta",AC60="Moderado"),AND(AA60="Alta",AC60="Mayor"),AND(AA60="Muy Alta",AC60="Leve"),AND(AA60="Muy Alta",AC60="Menor"),AND(AA60="Muy Alta",AC60="Moderado"),AND(AA60="Muy Alta",AC60="Mayor")),"Alto",IF(OR(AND(AA60="Muy Baja",AC60="Catastrófico"),AND(AA60="Baja",AC60="Catastrófico"),AND(AA60="Media",AC60="Catastrófico"),AND(AA60="Alta",AC60="Catastrófico"),AND(AA60="Muy Alta",AC60="Catastrófico")),"Extremo","")))),"")</f>
        <v/>
      </c>
      <c r="AF60" s="116"/>
      <c r="AG60" s="121"/>
      <c r="AH60" s="122"/>
      <c r="AI60" s="123"/>
      <c r="AJ60" s="123"/>
      <c r="AK60" s="121"/>
      <c r="AL60" s="122"/>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row>
    <row r="61" spans="1:70" x14ac:dyDescent="0.3">
      <c r="A61" s="209"/>
      <c r="B61" s="139"/>
      <c r="C61" s="139"/>
      <c r="D61" s="210"/>
      <c r="E61" s="200"/>
      <c r="F61" s="141"/>
      <c r="G61" s="210"/>
      <c r="H61" s="140"/>
      <c r="I61" s="211"/>
      <c r="J61" s="207"/>
      <c r="K61" s="206"/>
      <c r="L61" s="205"/>
      <c r="M61" s="206">
        <f ca="1">IF(NOT(ISERROR(MATCH(L61,_xlfn.ANCHORARRAY(E73),0))),K75&amp;"Por favor no seleccionar los criterios de impacto",L61)</f>
        <v>0</v>
      </c>
      <c r="N61" s="207"/>
      <c r="O61" s="206"/>
      <c r="P61" s="208"/>
      <c r="Q61" s="113">
        <v>5</v>
      </c>
      <c r="R61" s="114"/>
      <c r="S61" s="115" t="str">
        <f t="shared" si="66"/>
        <v/>
      </c>
      <c r="T61" s="116"/>
      <c r="U61" s="116"/>
      <c r="V61" s="117" t="str">
        <f t="shared" si="63"/>
        <v/>
      </c>
      <c r="W61" s="116"/>
      <c r="X61" s="116"/>
      <c r="Y61" s="116"/>
      <c r="Z61" s="118" t="str">
        <f t="shared" si="67"/>
        <v/>
      </c>
      <c r="AA61" s="119" t="str">
        <f t="shared" si="0"/>
        <v/>
      </c>
      <c r="AB61" s="117" t="str">
        <f t="shared" si="64"/>
        <v/>
      </c>
      <c r="AC61" s="119" t="str">
        <f t="shared" si="2"/>
        <v/>
      </c>
      <c r="AD61" s="117" t="str">
        <f t="shared" si="68"/>
        <v/>
      </c>
      <c r="AE61" s="120" t="str">
        <f t="shared" ref="AE61:AE62" si="69">IFERROR(IF(OR(AND(AA61="Muy Baja",AC61="Leve"),AND(AA61="Muy Baja",AC61="Menor"),AND(AA61="Baja",AC61="Leve")),"Bajo",IF(OR(AND(AA61="Muy baja",AC61="Moderado"),AND(AA61="Baja",AC61="Menor"),AND(AA61="Baja",AC61="Moderado"),AND(AA61="Media",AC61="Leve"),AND(AA61="Media",AC61="Menor"),AND(AA61="Media",AC61="Moderado"),AND(AA61="Alta",AC61="Leve"),AND(AA61="Alta",AC61="Menor")),"Moderado",IF(OR(AND(AA61="Muy Baja",AC61="Mayor"),AND(AA61="Baja",AC61="Mayor"),AND(AA61="Media",AC61="Mayor"),AND(AA61="Alta",AC61="Moderado"),AND(AA61="Alta",AC61="Mayor"),AND(AA61="Muy Alta",AC61="Leve"),AND(AA61="Muy Alta",AC61="Menor"),AND(AA61="Muy Alta",AC61="Moderado"),AND(AA61="Muy Alta",AC61="Mayor")),"Alto",IF(OR(AND(AA61="Muy Baja",AC61="Catastrófico"),AND(AA61="Baja",AC61="Catastrófico"),AND(AA61="Media",AC61="Catastrófico"),AND(AA61="Alta",AC61="Catastrófico"),AND(AA61="Muy Alta",AC61="Catastrófico")),"Extremo","")))),"")</f>
        <v/>
      </c>
      <c r="AF61" s="116"/>
      <c r="AG61" s="121"/>
      <c r="AH61" s="122"/>
      <c r="AI61" s="123"/>
      <c r="AJ61" s="123"/>
      <c r="AK61" s="121"/>
      <c r="AL61" s="122"/>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row>
    <row r="62" spans="1:70" x14ac:dyDescent="0.3">
      <c r="A62" s="209"/>
      <c r="B62" s="139"/>
      <c r="C62" s="139"/>
      <c r="D62" s="210"/>
      <c r="E62" s="200"/>
      <c r="F62" s="141"/>
      <c r="G62" s="210"/>
      <c r="H62" s="140"/>
      <c r="I62" s="211"/>
      <c r="J62" s="207"/>
      <c r="K62" s="206"/>
      <c r="L62" s="205"/>
      <c r="M62" s="206">
        <f ca="1">IF(NOT(ISERROR(MATCH(L62,_xlfn.ANCHORARRAY(E74),0))),K76&amp;"Por favor no seleccionar los criterios de impacto",L62)</f>
        <v>0</v>
      </c>
      <c r="N62" s="207"/>
      <c r="O62" s="206"/>
      <c r="P62" s="208"/>
      <c r="Q62" s="113">
        <v>6</v>
      </c>
      <c r="R62" s="114"/>
      <c r="S62" s="115" t="str">
        <f t="shared" si="66"/>
        <v/>
      </c>
      <c r="T62" s="116"/>
      <c r="U62" s="116"/>
      <c r="V62" s="117" t="str">
        <f t="shared" si="63"/>
        <v/>
      </c>
      <c r="W62" s="116"/>
      <c r="X62" s="116"/>
      <c r="Y62" s="116"/>
      <c r="Z62" s="118" t="str">
        <f t="shared" si="67"/>
        <v/>
      </c>
      <c r="AA62" s="119" t="str">
        <f t="shared" si="0"/>
        <v/>
      </c>
      <c r="AB62" s="117" t="str">
        <f t="shared" si="64"/>
        <v/>
      </c>
      <c r="AC62" s="119" t="str">
        <f t="shared" si="2"/>
        <v/>
      </c>
      <c r="AD62" s="117" t="str">
        <f t="shared" si="68"/>
        <v/>
      </c>
      <c r="AE62" s="120" t="str">
        <f t="shared" si="69"/>
        <v/>
      </c>
      <c r="AF62" s="116"/>
      <c r="AG62" s="121"/>
      <c r="AH62" s="122"/>
      <c r="AI62" s="123"/>
      <c r="AJ62" s="123"/>
      <c r="AK62" s="121"/>
      <c r="AL62" s="122"/>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row>
    <row r="63" spans="1:70" x14ac:dyDescent="0.3">
      <c r="A63" s="209">
        <v>10</v>
      </c>
      <c r="B63" s="139"/>
      <c r="C63" s="139"/>
      <c r="D63" s="210"/>
      <c r="E63" s="200"/>
      <c r="F63" s="141"/>
      <c r="G63" s="210"/>
      <c r="H63" s="140"/>
      <c r="I63" s="211"/>
      <c r="J63" s="207" t="str">
        <f>IF(I63&lt;=0,"",IF(I63&lt;=2,"Muy Baja",IF(I63&lt;=24,"Baja",IF(I63&lt;=500,"Media",IF(I63&lt;=5000,"Alta","Muy Alta")))))</f>
        <v/>
      </c>
      <c r="K63" s="206" t="str">
        <f>IF(J63="","",IF(J63="Muy Baja",0.2,IF(J63="Baja",0.4,IF(J63="Media",0.6,IF(J63="Alta",0.8,IF(J63="Muy Alta",1,))))))</f>
        <v/>
      </c>
      <c r="L63" s="205"/>
      <c r="M63" s="206">
        <f ca="1">IF(NOT(ISERROR(MATCH(L63,'Tabla Impacto'!$B$221:$B$223,0))),'Tabla Impacto'!$F$223&amp;"Por favor no seleccionar los criterios de impacto(Afectación Económica o presupuestal y Pérdida Reputacional)",L63)</f>
        <v>0</v>
      </c>
      <c r="N63" s="207" t="str">
        <f ca="1">IF(OR(M63='Tabla Impacto'!$C$11,M63='Tabla Impacto'!$D$11),"Leve",IF(OR(M63='Tabla Impacto'!$C$12,M63='Tabla Impacto'!$D$12),"Menor",IF(OR(M63='Tabla Impacto'!$C$13,M63='Tabla Impacto'!$D$13),"Moderado",IF(OR(M63='Tabla Impacto'!$C$14,M63='Tabla Impacto'!$D$14),"Mayor",IF(OR(M63='Tabla Impacto'!$C$15,M63='Tabla Impacto'!$D$15),"Catastrófico","")))))</f>
        <v/>
      </c>
      <c r="O63" s="206" t="str">
        <f ca="1">IF(N63="","",IF(N63="Leve",0.2,IF(N63="Menor",0.4,IF(N63="Moderado",0.6,IF(N63="Mayor",0.8,IF(N63="Catastrófico",1,))))))</f>
        <v/>
      </c>
      <c r="P63" s="208" t="str">
        <f ca="1">IF(OR(AND(J63="Muy Baja",N63="Leve"),AND(J63="Muy Baja",N63="Menor"),AND(J63="Baja",N63="Leve")),"Bajo",IF(OR(AND(J63="Muy baja",N63="Moderado"),AND(J63="Baja",N63="Menor"),AND(J63="Baja",N63="Moderado"),AND(J63="Media",N63="Leve"),AND(J63="Media",N63="Menor"),AND(J63="Media",N63="Moderado"),AND(J63="Alta",N63="Leve"),AND(J63="Alta",N63="Menor")),"Moderado",IF(OR(AND(J63="Muy Baja",N63="Mayor"),AND(J63="Baja",N63="Mayor"),AND(J63="Media",N63="Mayor"),AND(J63="Alta",N63="Moderado"),AND(J63="Alta",N63="Mayor"),AND(J63="Muy Alta",N63="Leve"),AND(J63="Muy Alta",N63="Menor"),AND(J63="Muy Alta",N63="Moderado"),AND(J63="Muy Alta",N63="Mayor")),"Alto",IF(OR(AND(J63="Muy Baja",N63="Catastrófico"),AND(J63="Baja",N63="Catastrófico"),AND(J63="Media",N63="Catastrófico"),AND(J63="Alta",N63="Catastrófico"),AND(J63="Muy Alta",N63="Catastrófico")),"Extremo",""))))</f>
        <v/>
      </c>
      <c r="Q63" s="113">
        <v>1</v>
      </c>
      <c r="R63" s="114"/>
      <c r="S63" s="115" t="str">
        <f>IF(OR(T63="Preventivo",T63="Detectivo"),"Probabilidad",IF(T63="Correctivo","Impacto",""))</f>
        <v/>
      </c>
      <c r="T63" s="116"/>
      <c r="U63" s="116"/>
      <c r="V63" s="117" t="str">
        <f>IF(AND(T63="Preventivo",U63="Automático"),"50%",IF(AND(T63="Preventivo",U63="Manual"),"40%",IF(AND(T63="Detectivo",U63="Automático"),"40%",IF(AND(T63="Detectivo",U63="Manual"),"30%",IF(AND(T63="Correctivo",U63="Automático"),"35%",IF(AND(T63="Correctivo",U63="Manual"),"25%",""))))))</f>
        <v/>
      </c>
      <c r="W63" s="116"/>
      <c r="X63" s="116"/>
      <c r="Y63" s="116"/>
      <c r="Z63" s="118" t="str">
        <f>IFERROR(IF(S63="Probabilidad",(K63-(+K63*V63)),IF(S63="Impacto",K63,"")),"")</f>
        <v/>
      </c>
      <c r="AA63" s="119" t="str">
        <f>IFERROR(IF(Z63="","",IF(Z63&lt;=0.2,"Muy Baja",IF(Z63&lt;=0.4,"Baja",IF(Z63&lt;=0.6,"Media",IF(Z63&lt;=0.8,"Alta","Muy Alta"))))),"")</f>
        <v/>
      </c>
      <c r="AB63" s="117" t="str">
        <f>+Z63</f>
        <v/>
      </c>
      <c r="AC63" s="119" t="str">
        <f>IFERROR(IF(AD63="","",IF(AD63&lt;=0.2,"Leve",IF(AD63&lt;=0.4,"Menor",IF(AD63&lt;=0.6,"Moderado",IF(AD63&lt;=0.8,"Mayor","Catastrófico"))))),"")</f>
        <v/>
      </c>
      <c r="AD63" s="117" t="str">
        <f>IFERROR(IF(S63="Impacto",(O63-(+O63*V63)),IF(S63="Probabilidad",O63,"")),"")</f>
        <v/>
      </c>
      <c r="AE63" s="120" t="str">
        <f>IFERROR(IF(OR(AND(AA63="Muy Baja",AC63="Leve"),AND(AA63="Muy Baja",AC63="Menor"),AND(AA63="Baja",AC63="Leve")),"Bajo",IF(OR(AND(AA63="Muy baja",AC63="Moderado"),AND(AA63="Baja",AC63="Menor"),AND(AA63="Baja",AC63="Moderado"),AND(AA63="Media",AC63="Leve"),AND(AA63="Media",AC63="Menor"),AND(AA63="Media",AC63="Moderado"),AND(AA63="Alta",AC63="Leve"),AND(AA63="Alta",AC63="Menor")),"Moderado",IF(OR(AND(AA63="Muy Baja",AC63="Mayor"),AND(AA63="Baja",AC63="Mayor"),AND(AA63="Media",AC63="Mayor"),AND(AA63="Alta",AC63="Moderado"),AND(AA63="Alta",AC63="Mayor"),AND(AA63="Muy Alta",AC63="Leve"),AND(AA63="Muy Alta",AC63="Menor"),AND(AA63="Muy Alta",AC63="Moderado"),AND(AA63="Muy Alta",AC63="Mayor")),"Alto",IF(OR(AND(AA63="Muy Baja",AC63="Catastrófico"),AND(AA63="Baja",AC63="Catastrófico"),AND(AA63="Media",AC63="Catastrófico"),AND(AA63="Alta",AC63="Catastrófico"),AND(AA63="Muy Alta",AC63="Catastrófico")),"Extremo","")))),"")</f>
        <v/>
      </c>
      <c r="AF63" s="116"/>
      <c r="AG63" s="121"/>
      <c r="AH63" s="122"/>
      <c r="AI63" s="123"/>
      <c r="AJ63" s="123"/>
      <c r="AK63" s="121"/>
      <c r="AL63" s="122"/>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row>
    <row r="64" spans="1:70" x14ac:dyDescent="0.3">
      <c r="A64" s="209"/>
      <c r="B64" s="139"/>
      <c r="C64" s="139"/>
      <c r="D64" s="210"/>
      <c r="E64" s="200"/>
      <c r="F64" s="141"/>
      <c r="G64" s="210"/>
      <c r="H64" s="140"/>
      <c r="I64" s="211"/>
      <c r="J64" s="207"/>
      <c r="K64" s="206"/>
      <c r="L64" s="205"/>
      <c r="M64" s="206">
        <f ca="1">IF(NOT(ISERROR(MATCH(L64,_xlfn.ANCHORARRAY(E76),0))),K78&amp;"Por favor no seleccionar los criterios de impacto",L64)</f>
        <v>0</v>
      </c>
      <c r="N64" s="207"/>
      <c r="O64" s="206"/>
      <c r="P64" s="208"/>
      <c r="Q64" s="113">
        <v>2</v>
      </c>
      <c r="R64" s="114"/>
      <c r="S64" s="115" t="str">
        <f>IF(OR(T64="Preventivo",T64="Detectivo"),"Probabilidad",IF(T64="Correctivo","Impacto",""))</f>
        <v/>
      </c>
      <c r="T64" s="116"/>
      <c r="U64" s="116"/>
      <c r="V64" s="117" t="str">
        <f t="shared" ref="V64:V68" si="70">IF(AND(T64="Preventivo",U64="Automático"),"50%",IF(AND(T64="Preventivo",U64="Manual"),"40%",IF(AND(T64="Detectivo",U64="Automático"),"40%",IF(AND(T64="Detectivo",U64="Manual"),"30%",IF(AND(T64="Correctivo",U64="Automático"),"35%",IF(AND(T64="Correctivo",U64="Manual"),"25%",""))))))</f>
        <v/>
      </c>
      <c r="W64" s="116"/>
      <c r="X64" s="116"/>
      <c r="Y64" s="116"/>
      <c r="Z64" s="118" t="str">
        <f>IFERROR(IF(AND(S63="Probabilidad",S64="Probabilidad"),(AB63-(+AB63*V64)),IF(S64="Probabilidad",(K63-(+K63*V64)),IF(S64="Impacto",AB63,""))),"")</f>
        <v/>
      </c>
      <c r="AA64" s="119" t="str">
        <f t="shared" si="0"/>
        <v/>
      </c>
      <c r="AB64" s="117" t="str">
        <f t="shared" ref="AB64:AB68" si="71">+Z64</f>
        <v/>
      </c>
      <c r="AC64" s="119" t="str">
        <f t="shared" si="2"/>
        <v/>
      </c>
      <c r="AD64" s="117" t="str">
        <f>IFERROR(IF(AND(S63="Impacto",S64="Impacto"),(AD57-(+AD57*V64)),IF(S64="Impacto",($O$63-(+$O$63*V64)),IF(S64="Probabilidad",AD57,""))),"")</f>
        <v/>
      </c>
      <c r="AE64" s="120" t="str">
        <f t="shared" ref="AE64:AE65" si="72">IFERROR(IF(OR(AND(AA64="Muy Baja",AC64="Leve"),AND(AA64="Muy Baja",AC64="Menor"),AND(AA64="Baja",AC64="Leve")),"Bajo",IF(OR(AND(AA64="Muy baja",AC64="Moderado"),AND(AA64="Baja",AC64="Menor"),AND(AA64="Baja",AC64="Moderado"),AND(AA64="Media",AC64="Leve"),AND(AA64="Media",AC64="Menor"),AND(AA64="Media",AC64="Moderado"),AND(AA64="Alta",AC64="Leve"),AND(AA64="Alta",AC64="Menor")),"Moderado",IF(OR(AND(AA64="Muy Baja",AC64="Mayor"),AND(AA64="Baja",AC64="Mayor"),AND(AA64="Media",AC64="Mayor"),AND(AA64="Alta",AC64="Moderado"),AND(AA64="Alta",AC64="Mayor"),AND(AA64="Muy Alta",AC64="Leve"),AND(AA64="Muy Alta",AC64="Menor"),AND(AA64="Muy Alta",AC64="Moderado"),AND(AA64="Muy Alta",AC64="Mayor")),"Alto",IF(OR(AND(AA64="Muy Baja",AC64="Catastrófico"),AND(AA64="Baja",AC64="Catastrófico"),AND(AA64="Media",AC64="Catastrófico"),AND(AA64="Alta",AC64="Catastrófico"),AND(AA64="Muy Alta",AC64="Catastrófico")),"Extremo","")))),"")</f>
        <v/>
      </c>
      <c r="AF64" s="116"/>
      <c r="AG64" s="121"/>
      <c r="AH64" s="122"/>
      <c r="AI64" s="123"/>
      <c r="AJ64" s="123"/>
      <c r="AK64" s="121"/>
      <c r="AL64" s="122"/>
    </row>
    <row r="65" spans="1:38" x14ac:dyDescent="0.3">
      <c r="A65" s="209"/>
      <c r="B65" s="139"/>
      <c r="C65" s="139"/>
      <c r="D65" s="210"/>
      <c r="E65" s="200"/>
      <c r="F65" s="141"/>
      <c r="G65" s="210"/>
      <c r="H65" s="140"/>
      <c r="I65" s="211"/>
      <c r="J65" s="207"/>
      <c r="K65" s="206"/>
      <c r="L65" s="205"/>
      <c r="M65" s="206">
        <f ca="1">IF(NOT(ISERROR(MATCH(L65,_xlfn.ANCHORARRAY(E77),0))),K79&amp;"Por favor no seleccionar los criterios de impacto",L65)</f>
        <v>0</v>
      </c>
      <c r="N65" s="207"/>
      <c r="O65" s="206"/>
      <c r="P65" s="208"/>
      <c r="Q65" s="113">
        <v>3</v>
      </c>
      <c r="R65" s="126"/>
      <c r="S65" s="115" t="str">
        <f>IF(OR(T65="Preventivo",T65="Detectivo"),"Probabilidad",IF(T65="Correctivo","Impacto",""))</f>
        <v/>
      </c>
      <c r="T65" s="116"/>
      <c r="U65" s="116"/>
      <c r="V65" s="117" t="str">
        <f t="shared" si="70"/>
        <v/>
      </c>
      <c r="W65" s="116"/>
      <c r="X65" s="116"/>
      <c r="Y65" s="116"/>
      <c r="Z65" s="118" t="str">
        <f>IFERROR(IF(AND(S64="Probabilidad",S65="Probabilidad"),(AB64-(+AB64*V65)),IF(AND(S64="Impacto",S65="Probabilidad"),(AB63-(+AB63*V65)),IF(S65="Impacto",AB64,""))),"")</f>
        <v/>
      </c>
      <c r="AA65" s="119" t="str">
        <f t="shared" si="0"/>
        <v/>
      </c>
      <c r="AB65" s="117" t="str">
        <f t="shared" si="71"/>
        <v/>
      </c>
      <c r="AC65" s="119" t="str">
        <f t="shared" si="2"/>
        <v/>
      </c>
      <c r="AD65" s="117" t="str">
        <f>IFERROR(IF(AND(S64="Impacto",S65="Impacto"),(AD64-(+AD64*V65)),IF(AND(S64="Probabilidad",S65="Impacto"),(AD63-(+AD63*V65)),IF(S65="Probabilidad",AD64,""))),"")</f>
        <v/>
      </c>
      <c r="AE65" s="120" t="str">
        <f t="shared" si="72"/>
        <v/>
      </c>
      <c r="AF65" s="116"/>
      <c r="AG65" s="121"/>
      <c r="AH65" s="122"/>
      <c r="AI65" s="123"/>
      <c r="AJ65" s="123"/>
      <c r="AK65" s="121"/>
      <c r="AL65" s="122"/>
    </row>
    <row r="66" spans="1:38" x14ac:dyDescent="0.3">
      <c r="A66" s="209"/>
      <c r="B66" s="139"/>
      <c r="C66" s="139"/>
      <c r="D66" s="210"/>
      <c r="E66" s="200"/>
      <c r="F66" s="141"/>
      <c r="G66" s="210"/>
      <c r="H66" s="140"/>
      <c r="I66" s="211"/>
      <c r="J66" s="207"/>
      <c r="K66" s="206"/>
      <c r="L66" s="205"/>
      <c r="M66" s="206">
        <f ca="1">IF(NOT(ISERROR(MATCH(L66,_xlfn.ANCHORARRAY(E78),0))),K80&amp;"Por favor no seleccionar los criterios de impacto",L66)</f>
        <v>0</v>
      </c>
      <c r="N66" s="207"/>
      <c r="O66" s="206"/>
      <c r="P66" s="208"/>
      <c r="Q66" s="113">
        <v>4</v>
      </c>
      <c r="R66" s="114"/>
      <c r="S66" s="115" t="str">
        <f t="shared" ref="S66:S68" si="73">IF(OR(T66="Preventivo",T66="Detectivo"),"Probabilidad",IF(T66="Correctivo","Impacto",""))</f>
        <v/>
      </c>
      <c r="T66" s="116"/>
      <c r="U66" s="116"/>
      <c r="V66" s="117" t="str">
        <f t="shared" si="70"/>
        <v/>
      </c>
      <c r="W66" s="116"/>
      <c r="X66" s="116"/>
      <c r="Y66" s="116"/>
      <c r="Z66" s="118" t="str">
        <f t="shared" ref="Z66:Z68" si="74">IFERROR(IF(AND(S65="Probabilidad",S66="Probabilidad"),(AB65-(+AB65*V66)),IF(AND(S65="Impacto",S66="Probabilidad"),(AB64-(+AB64*V66)),IF(S66="Impacto",AB65,""))),"")</f>
        <v/>
      </c>
      <c r="AA66" s="119" t="str">
        <f t="shared" si="0"/>
        <v/>
      </c>
      <c r="AB66" s="117" t="str">
        <f t="shared" si="71"/>
        <v/>
      </c>
      <c r="AC66" s="119" t="str">
        <f t="shared" si="2"/>
        <v/>
      </c>
      <c r="AD66" s="117" t="str">
        <f t="shared" ref="AD66:AD68" si="75">IFERROR(IF(AND(S65="Impacto",S66="Impacto"),(AD65-(+AD65*V66)),IF(AND(S65="Probabilidad",S66="Impacto"),(AD64-(+AD64*V66)),IF(S66="Probabilidad",AD65,""))),"")</f>
        <v/>
      </c>
      <c r="AE66" s="120" t="str">
        <f>IFERROR(IF(OR(AND(AA66="Muy Baja",AC66="Leve"),AND(AA66="Muy Baja",AC66="Menor"),AND(AA66="Baja",AC66="Leve")),"Bajo",IF(OR(AND(AA66="Muy baja",AC66="Moderado"),AND(AA66="Baja",AC66="Menor"),AND(AA66="Baja",AC66="Moderado"),AND(AA66="Media",AC66="Leve"),AND(AA66="Media",AC66="Menor"),AND(AA66="Media",AC66="Moderado"),AND(AA66="Alta",AC66="Leve"),AND(AA66="Alta",AC66="Menor")),"Moderado",IF(OR(AND(AA66="Muy Baja",AC66="Mayor"),AND(AA66="Baja",AC66="Mayor"),AND(AA66="Media",AC66="Mayor"),AND(AA66="Alta",AC66="Moderado"),AND(AA66="Alta",AC66="Mayor"),AND(AA66="Muy Alta",AC66="Leve"),AND(AA66="Muy Alta",AC66="Menor"),AND(AA66="Muy Alta",AC66="Moderado"),AND(AA66="Muy Alta",AC66="Mayor")),"Alto",IF(OR(AND(AA66="Muy Baja",AC66="Catastrófico"),AND(AA66="Baja",AC66="Catastrófico"),AND(AA66="Media",AC66="Catastrófico"),AND(AA66="Alta",AC66="Catastrófico"),AND(AA66="Muy Alta",AC66="Catastrófico")),"Extremo","")))),"")</f>
        <v/>
      </c>
      <c r="AF66" s="116"/>
      <c r="AG66" s="121"/>
      <c r="AH66" s="122"/>
      <c r="AI66" s="123"/>
      <c r="AJ66" s="123"/>
      <c r="AK66" s="121"/>
      <c r="AL66" s="122"/>
    </row>
    <row r="67" spans="1:38" x14ac:dyDescent="0.3">
      <c r="A67" s="209"/>
      <c r="B67" s="139"/>
      <c r="C67" s="139"/>
      <c r="D67" s="210"/>
      <c r="E67" s="200"/>
      <c r="F67" s="141"/>
      <c r="G67" s="210"/>
      <c r="H67" s="140"/>
      <c r="I67" s="211"/>
      <c r="J67" s="207"/>
      <c r="K67" s="206"/>
      <c r="L67" s="205"/>
      <c r="M67" s="206">
        <f ca="1">IF(NOT(ISERROR(MATCH(L67,_xlfn.ANCHORARRAY(E79),0))),K81&amp;"Por favor no seleccionar los criterios de impacto",L67)</f>
        <v>0</v>
      </c>
      <c r="N67" s="207"/>
      <c r="O67" s="206"/>
      <c r="P67" s="208"/>
      <c r="Q67" s="113">
        <v>5</v>
      </c>
      <c r="R67" s="114"/>
      <c r="S67" s="115" t="str">
        <f t="shared" si="73"/>
        <v/>
      </c>
      <c r="T67" s="116"/>
      <c r="U67" s="116"/>
      <c r="V67" s="117" t="str">
        <f t="shared" si="70"/>
        <v/>
      </c>
      <c r="W67" s="116"/>
      <c r="X67" s="116"/>
      <c r="Y67" s="116"/>
      <c r="Z67" s="118" t="str">
        <f t="shared" si="74"/>
        <v/>
      </c>
      <c r="AA67" s="119" t="str">
        <f t="shared" si="0"/>
        <v/>
      </c>
      <c r="AB67" s="117" t="str">
        <f t="shared" si="71"/>
        <v/>
      </c>
      <c r="AC67" s="119" t="str">
        <f t="shared" si="2"/>
        <v/>
      </c>
      <c r="AD67" s="117" t="str">
        <f t="shared" si="75"/>
        <v/>
      </c>
      <c r="AE67" s="120" t="str">
        <f t="shared" ref="AE67:AE68" si="76">IFERROR(IF(OR(AND(AA67="Muy Baja",AC67="Leve"),AND(AA67="Muy Baja",AC67="Menor"),AND(AA67="Baja",AC67="Leve")),"Bajo",IF(OR(AND(AA67="Muy baja",AC67="Moderado"),AND(AA67="Baja",AC67="Menor"),AND(AA67="Baja",AC67="Moderado"),AND(AA67="Media",AC67="Leve"),AND(AA67="Media",AC67="Menor"),AND(AA67="Media",AC67="Moderado"),AND(AA67="Alta",AC67="Leve"),AND(AA67="Alta",AC67="Menor")),"Moderado",IF(OR(AND(AA67="Muy Baja",AC67="Mayor"),AND(AA67="Baja",AC67="Mayor"),AND(AA67="Media",AC67="Mayor"),AND(AA67="Alta",AC67="Moderado"),AND(AA67="Alta",AC67="Mayor"),AND(AA67="Muy Alta",AC67="Leve"),AND(AA67="Muy Alta",AC67="Menor"),AND(AA67="Muy Alta",AC67="Moderado"),AND(AA67="Muy Alta",AC67="Mayor")),"Alto",IF(OR(AND(AA67="Muy Baja",AC67="Catastrófico"),AND(AA67="Baja",AC67="Catastrófico"),AND(AA67="Media",AC67="Catastrófico"),AND(AA67="Alta",AC67="Catastrófico"),AND(AA67="Muy Alta",AC67="Catastrófico")),"Extremo","")))),"")</f>
        <v/>
      </c>
      <c r="AF67" s="116"/>
      <c r="AG67" s="121"/>
      <c r="AH67" s="122"/>
      <c r="AI67" s="123"/>
      <c r="AJ67" s="123"/>
      <c r="AK67" s="121"/>
      <c r="AL67" s="122"/>
    </row>
    <row r="68" spans="1:38" x14ac:dyDescent="0.3">
      <c r="A68" s="209"/>
      <c r="B68" s="139"/>
      <c r="C68" s="139"/>
      <c r="D68" s="210"/>
      <c r="E68" s="200"/>
      <c r="F68" s="141"/>
      <c r="G68" s="210"/>
      <c r="H68" s="140"/>
      <c r="I68" s="211"/>
      <c r="J68" s="207"/>
      <c r="K68" s="206"/>
      <c r="L68" s="205"/>
      <c r="M68" s="206">
        <f ca="1">IF(NOT(ISERROR(MATCH(L68,_xlfn.ANCHORARRAY(E80),0))),K82&amp;"Por favor no seleccionar los criterios de impacto",L68)</f>
        <v>0</v>
      </c>
      <c r="N68" s="207"/>
      <c r="O68" s="206"/>
      <c r="P68" s="208"/>
      <c r="Q68" s="113">
        <v>6</v>
      </c>
      <c r="R68" s="114"/>
      <c r="S68" s="115" t="str">
        <f t="shared" si="73"/>
        <v/>
      </c>
      <c r="T68" s="116"/>
      <c r="U68" s="116"/>
      <c r="V68" s="117" t="str">
        <f t="shared" si="70"/>
        <v/>
      </c>
      <c r="W68" s="116"/>
      <c r="X68" s="116"/>
      <c r="Y68" s="116"/>
      <c r="Z68" s="118" t="str">
        <f t="shared" si="74"/>
        <v/>
      </c>
      <c r="AA68" s="119" t="str">
        <f t="shared" si="0"/>
        <v/>
      </c>
      <c r="AB68" s="117" t="str">
        <f t="shared" si="71"/>
        <v/>
      </c>
      <c r="AC68" s="119" t="str">
        <f t="shared" si="2"/>
        <v/>
      </c>
      <c r="AD68" s="117" t="str">
        <f t="shared" si="75"/>
        <v/>
      </c>
      <c r="AE68" s="120" t="str">
        <f t="shared" si="76"/>
        <v/>
      </c>
      <c r="AF68" s="116"/>
      <c r="AG68" s="121"/>
      <c r="AH68" s="122"/>
      <c r="AI68" s="123"/>
      <c r="AJ68" s="123"/>
      <c r="AK68" s="121"/>
      <c r="AL68" s="122"/>
    </row>
    <row r="69" spans="1:38" x14ac:dyDescent="0.3">
      <c r="A69" s="209">
        <v>1</v>
      </c>
      <c r="B69" s="139"/>
      <c r="C69" s="139"/>
      <c r="D69" s="210"/>
      <c r="E69" s="200"/>
      <c r="F69" s="141"/>
      <c r="G69" s="210"/>
      <c r="H69" s="140"/>
      <c r="I69" s="211"/>
      <c r="J69" s="207" t="str">
        <f>IF(I69&lt;=0,"",IF(I69&lt;=2,"Muy Baja",IF(I69&lt;=24,"Baja",IF(I69&lt;=500,"Media",IF(I69&lt;=5000,"Alta","Muy Alta")))))</f>
        <v/>
      </c>
      <c r="K69" s="206" t="str">
        <f>IF(J69="","",IF(J69="Muy Baja",0.2,IF(J69="Baja",0.4,IF(J69="Media",0.6,IF(J69="Alta",0.8,IF(J69="Muy Alta",1,))))))</f>
        <v/>
      </c>
      <c r="L69" s="205"/>
      <c r="M69" s="206">
        <f ca="1">IF(NOT(ISERROR(MATCH(L69,'Tabla Impacto'!$B$221:$B$223,0))),'Tabla Impacto'!$F$223&amp;"Por favor no seleccionar los criterios de impacto(Afectación Económica o presupuestal y Pérdida Reputacional)",L69)</f>
        <v>0</v>
      </c>
      <c r="N69" s="207" t="str">
        <f ca="1">IF(OR(M69='Tabla Impacto'!$C$11,M69='Tabla Impacto'!$D$11),"Leve",IF(OR(M69='Tabla Impacto'!$C$12,M69='Tabla Impacto'!$D$12),"Menor",IF(OR(M69='Tabla Impacto'!$C$13,M69='Tabla Impacto'!$D$13),"Moderado",IF(OR(M69='Tabla Impacto'!$C$14,M69='Tabla Impacto'!$D$14),"Mayor",IF(OR(M69='Tabla Impacto'!$C$15,M69='Tabla Impacto'!$D$15),"Catastrófico","")))))</f>
        <v/>
      </c>
      <c r="O69" s="206" t="str">
        <f ca="1">IF(N69="","",IF(N69="Leve",0.2,IF(N69="Menor",0.4,IF(N69="Moderado",0.6,IF(N69="Mayor",0.8,IF(N69="Catastrófico",1,))))))</f>
        <v/>
      </c>
      <c r="P69" s="208" t="str">
        <f ca="1">IF(OR(AND(J69="Muy Baja",N69="Leve"),AND(J69="Muy Baja",N69="Menor"),AND(J69="Baja",N69="Leve")),"Bajo",IF(OR(AND(J69="Muy baja",N69="Moderado"),AND(J69="Baja",N69="Menor"),AND(J69="Baja",N69="Moderado"),AND(J69="Media",N69="Leve"),AND(J69="Media",N69="Menor"),AND(J69="Media",N69="Moderado"),AND(J69="Alta",N69="Leve"),AND(J69="Alta",N69="Menor")),"Moderado",IF(OR(AND(J69="Muy Baja",N69="Mayor"),AND(J69="Baja",N69="Mayor"),AND(J69="Media",N69="Mayor"),AND(J69="Alta",N69="Moderado"),AND(J69="Alta",N69="Mayor"),AND(J69="Muy Alta",N69="Leve"),AND(J69="Muy Alta",N69="Menor"),AND(J69="Muy Alta",N69="Moderado"),AND(J69="Muy Alta",N69="Mayor")),"Alto",IF(OR(AND(J69="Muy Baja",N69="Catastrófico"),AND(J69="Baja",N69="Catastrófico"),AND(J69="Media",N69="Catastrófico"),AND(J69="Alta",N69="Catastrófico"),AND(J69="Muy Alta",N69="Catastrófico")),"Extremo",""))))</f>
        <v/>
      </c>
      <c r="Q69" s="113">
        <v>1</v>
      </c>
      <c r="R69" s="114"/>
      <c r="S69" s="115" t="str">
        <f>IF(OR(T69="Preventivo",T69="Detectivo"),"Probabilidad",IF(T69="Correctivo","Impacto",""))</f>
        <v/>
      </c>
      <c r="T69" s="116"/>
      <c r="U69" s="116"/>
      <c r="V69" s="117" t="str">
        <f>IF(AND(T69="Preventivo",U69="Automático"),"50%",IF(AND(T69="Preventivo",U69="Manual"),"40%",IF(AND(T69="Detectivo",U69="Automático"),"40%",IF(AND(T69="Detectivo",U69="Manual"),"30%",IF(AND(T69="Correctivo",U69="Automático"),"35%",IF(AND(T69="Correctivo",U69="Manual"),"25%",""))))))</f>
        <v/>
      </c>
      <c r="W69" s="116"/>
      <c r="X69" s="116"/>
      <c r="Y69" s="116"/>
      <c r="Z69" s="118" t="str">
        <f>IFERROR(IF(S69="Probabilidad",(K69-(+K69*V69)),IF(S69="Impacto",K69,"")),"")</f>
        <v/>
      </c>
      <c r="AA69" s="119" t="str">
        <f>IFERROR(IF(Z69="","",IF(Z69&lt;=0.2,"Muy Baja",IF(Z69&lt;=0.4,"Baja",IF(Z69&lt;=0.6,"Media",IF(Z69&lt;=0.8,"Alta","Muy Alta"))))),"")</f>
        <v/>
      </c>
      <c r="AB69" s="117" t="str">
        <f>+Z69</f>
        <v/>
      </c>
      <c r="AC69" s="119" t="str">
        <f>IFERROR(IF(AD69="","",IF(AD69&lt;=0.2,"Leve",IF(AD69&lt;=0.4,"Menor",IF(AD69&lt;=0.6,"Moderado",IF(AD69&lt;=0.8,"Mayor","Catastrófico"))))),"")</f>
        <v/>
      </c>
      <c r="AD69" s="117" t="str">
        <f>IFERROR(IF(S69="Impacto",(O69-(+O69*V69)),IF(S69="Probabilidad",O69,"")),"")</f>
        <v/>
      </c>
      <c r="AE69" s="120" t="str">
        <f>IFERROR(IF(OR(AND(AA69="Muy Baja",AC69="Leve"),AND(AA69="Muy Baja",AC69="Menor"),AND(AA69="Baja",AC69="Leve")),"Bajo",IF(OR(AND(AA69="Muy baja",AC69="Moderado"),AND(AA69="Baja",AC69="Menor"),AND(AA69="Baja",AC69="Moderado"),AND(AA69="Media",AC69="Leve"),AND(AA69="Media",AC69="Menor"),AND(AA69="Media",AC69="Moderado"),AND(AA69="Alta",AC69="Leve"),AND(AA69="Alta",AC69="Menor")),"Moderado",IF(OR(AND(AA69="Muy Baja",AC69="Mayor"),AND(AA69="Baja",AC69="Mayor"),AND(AA69="Media",AC69="Mayor"),AND(AA69="Alta",AC69="Moderado"),AND(AA69="Alta",AC69="Mayor"),AND(AA69="Muy Alta",AC69="Leve"),AND(AA69="Muy Alta",AC69="Menor"),AND(AA69="Muy Alta",AC69="Moderado"),AND(AA69="Muy Alta",AC69="Mayor")),"Alto",IF(OR(AND(AA69="Muy Baja",AC69="Catastrófico"),AND(AA69="Baja",AC69="Catastrófico"),AND(AA69="Media",AC69="Catastrófico"),AND(AA69="Alta",AC69="Catastrófico"),AND(AA69="Muy Alta",AC69="Catastrófico")),"Extremo","")))),"")</f>
        <v/>
      </c>
      <c r="AF69" s="116"/>
      <c r="AG69" s="121"/>
      <c r="AH69" s="122"/>
      <c r="AI69" s="123"/>
      <c r="AJ69" s="123"/>
      <c r="AK69" s="121"/>
      <c r="AL69" s="122"/>
    </row>
    <row r="70" spans="1:38" ht="49.5" customHeight="1" x14ac:dyDescent="0.3">
      <c r="A70" s="209"/>
      <c r="B70" s="139"/>
      <c r="C70" s="139"/>
      <c r="D70" s="210"/>
      <c r="E70" s="200"/>
      <c r="F70" s="141"/>
      <c r="G70" s="210"/>
      <c r="H70" s="140"/>
      <c r="I70" s="211"/>
      <c r="J70" s="207"/>
      <c r="K70" s="206"/>
      <c r="L70" s="205"/>
      <c r="M70" s="206">
        <f ca="1">IF(NOT(ISERROR(MATCH(L70,_xlfn.ANCHORARRAY(E81),0))),K83&amp;"Por favor no seleccionar los criterios de impacto",L70)</f>
        <v>0</v>
      </c>
      <c r="N70" s="207"/>
      <c r="O70" s="206"/>
      <c r="P70" s="208"/>
      <c r="Q70" s="113">
        <v>2</v>
      </c>
      <c r="R70" s="114"/>
      <c r="S70" s="115" t="str">
        <f>IF(OR(T70="Preventivo",T70="Detectivo"),"Probabilidad",IF(T70="Correctivo","Impacto",""))</f>
        <v/>
      </c>
      <c r="T70" s="116"/>
      <c r="U70" s="116"/>
      <c r="V70" s="117" t="str">
        <f t="shared" ref="V70:V74" si="77">IF(AND(T70="Preventivo",U70="Automático"),"50%",IF(AND(T70="Preventivo",U70="Manual"),"40%",IF(AND(T70="Detectivo",U70="Automático"),"40%",IF(AND(T70="Detectivo",U70="Manual"),"30%",IF(AND(T70="Correctivo",U70="Automático"),"35%",IF(AND(T70="Correctivo",U70="Manual"),"25%",""))))))</f>
        <v/>
      </c>
      <c r="W70" s="116"/>
      <c r="X70" s="116"/>
      <c r="Y70" s="116"/>
      <c r="Z70" s="118" t="str">
        <f>IFERROR(IF(AND(S69="Probabilidad",S70="Probabilidad"),(AB69-(+AB69*V70)),IF(S70="Probabilidad",(K69-(+K69*V70)),IF(S70="Impacto",AB69,""))),"")</f>
        <v/>
      </c>
      <c r="AA70" s="119" t="str">
        <f t="shared" ref="AA70:AA74" si="78">IFERROR(IF(Z70="","",IF(Z70&lt;=0.2,"Muy Baja",IF(Z70&lt;=0.4,"Baja",IF(Z70&lt;=0.6,"Media",IF(Z70&lt;=0.8,"Alta","Muy Alta"))))),"")</f>
        <v/>
      </c>
      <c r="AB70" s="117" t="str">
        <f t="shared" ref="AB70:AB74" si="79">+Z70</f>
        <v/>
      </c>
      <c r="AC70" s="119" t="str">
        <f t="shared" ref="AC70:AC74" si="80">IFERROR(IF(AD70="","",IF(AD70&lt;=0.2,"Leve",IF(AD70&lt;=0.4,"Menor",IF(AD70&lt;=0.6,"Moderado",IF(AD70&lt;=0.8,"Mayor","Catastrófico"))))),"")</f>
        <v/>
      </c>
      <c r="AD70" s="117" t="str">
        <f>IFERROR(IF(AND(S69="Impacto",S70="Impacto"),(AD69-(+AD69*V70)),IF(S70="Impacto",($O$9-(+$O$9*V70)),IF(S70="Probabilidad",AD69,""))),"")</f>
        <v/>
      </c>
      <c r="AE70" s="120" t="str">
        <f t="shared" ref="AE70:AE71" si="81">IFERROR(IF(OR(AND(AA70="Muy Baja",AC70="Leve"),AND(AA70="Muy Baja",AC70="Menor"),AND(AA70="Baja",AC70="Leve")),"Bajo",IF(OR(AND(AA70="Muy baja",AC70="Moderado"),AND(AA70="Baja",AC70="Menor"),AND(AA70="Baja",AC70="Moderado"),AND(AA70="Media",AC70="Leve"),AND(AA70="Media",AC70="Menor"),AND(AA70="Media",AC70="Moderado"),AND(AA70="Alta",AC70="Leve"),AND(AA70="Alta",AC70="Menor")),"Moderado",IF(OR(AND(AA70="Muy Baja",AC70="Mayor"),AND(AA70="Baja",AC70="Mayor"),AND(AA70="Media",AC70="Mayor"),AND(AA70="Alta",AC70="Moderado"),AND(AA70="Alta",AC70="Mayor"),AND(AA70="Muy Alta",AC70="Leve"),AND(AA70="Muy Alta",AC70="Menor"),AND(AA70="Muy Alta",AC70="Moderado"),AND(AA70="Muy Alta",AC70="Mayor")),"Alto",IF(OR(AND(AA70="Muy Baja",AC70="Catastrófico"),AND(AA70="Baja",AC70="Catastrófico"),AND(AA70="Media",AC70="Catastrófico"),AND(AA70="Alta",AC70="Catastrófico"),AND(AA70="Muy Alta",AC70="Catastrófico")),"Extremo","")))),"")</f>
        <v/>
      </c>
      <c r="AF70" s="116"/>
      <c r="AG70" s="121"/>
      <c r="AH70" s="122"/>
      <c r="AI70" s="123"/>
      <c r="AJ70" s="123"/>
      <c r="AK70" s="121"/>
      <c r="AL70" s="122"/>
    </row>
    <row r="71" spans="1:38" x14ac:dyDescent="0.3">
      <c r="A71" s="209"/>
      <c r="B71" s="139"/>
      <c r="C71" s="139"/>
      <c r="D71" s="210"/>
      <c r="E71" s="200"/>
      <c r="F71" s="141"/>
      <c r="G71" s="210"/>
      <c r="H71" s="140"/>
      <c r="I71" s="211"/>
      <c r="J71" s="207"/>
      <c r="K71" s="206"/>
      <c r="L71" s="205"/>
      <c r="M71" s="206">
        <f ca="1">IF(NOT(ISERROR(MATCH(L71,_xlfn.ANCHORARRAY(E82),0))),K84&amp;"Por favor no seleccionar los criterios de impacto",L71)</f>
        <v>0</v>
      </c>
      <c r="N71" s="207"/>
      <c r="O71" s="206"/>
      <c r="P71" s="208"/>
      <c r="Q71" s="113">
        <v>3</v>
      </c>
      <c r="R71" s="126"/>
      <c r="S71" s="115" t="str">
        <f>IF(OR(T71="Preventivo",T71="Detectivo"),"Probabilidad",IF(T71="Correctivo","Impacto",""))</f>
        <v/>
      </c>
      <c r="T71" s="116"/>
      <c r="U71" s="116"/>
      <c r="V71" s="117" t="str">
        <f t="shared" si="77"/>
        <v/>
      </c>
      <c r="W71" s="116"/>
      <c r="X71" s="116"/>
      <c r="Y71" s="116"/>
      <c r="Z71" s="118" t="str">
        <f>IFERROR(IF(AND(S70="Probabilidad",S71="Probabilidad"),(AB70-(+AB70*V71)),IF(AND(S70="Impacto",S71="Probabilidad"),(AB69-(+AB69*V71)),IF(S71="Impacto",AB70,""))),"")</f>
        <v/>
      </c>
      <c r="AA71" s="119" t="str">
        <f t="shared" si="78"/>
        <v/>
      </c>
      <c r="AB71" s="117" t="str">
        <f t="shared" si="79"/>
        <v/>
      </c>
      <c r="AC71" s="119" t="str">
        <f t="shared" si="80"/>
        <v/>
      </c>
      <c r="AD71" s="117" t="str">
        <f>IFERROR(IF(AND(S70="Impacto",S71="Impacto"),(AD70-(+AD70*V71)),IF(AND(S70="Probabilidad",S71="Impacto"),(AD69-(+AD69*V71)),IF(S71="Probabilidad",AD70,""))),"")</f>
        <v/>
      </c>
      <c r="AE71" s="120" t="str">
        <f t="shared" si="81"/>
        <v/>
      </c>
      <c r="AF71" s="116"/>
      <c r="AG71" s="121"/>
      <c r="AH71" s="122"/>
      <c r="AI71" s="123"/>
      <c r="AJ71" s="123"/>
      <c r="AK71" s="121"/>
      <c r="AL71" s="122"/>
    </row>
    <row r="72" spans="1:38" x14ac:dyDescent="0.3">
      <c r="A72" s="209"/>
      <c r="B72" s="139"/>
      <c r="C72" s="139"/>
      <c r="D72" s="210"/>
      <c r="E72" s="200"/>
      <c r="F72" s="141"/>
      <c r="G72" s="210"/>
      <c r="H72" s="140"/>
      <c r="I72" s="211"/>
      <c r="J72" s="207"/>
      <c r="K72" s="206"/>
      <c r="L72" s="205"/>
      <c r="M72" s="206">
        <f ca="1">IF(NOT(ISERROR(MATCH(L72,_xlfn.ANCHORARRAY(E83),0))),K85&amp;"Por favor no seleccionar los criterios de impacto",L72)</f>
        <v>0</v>
      </c>
      <c r="N72" s="207"/>
      <c r="O72" s="206"/>
      <c r="P72" s="208"/>
      <c r="Q72" s="113">
        <v>4</v>
      </c>
      <c r="R72" s="114"/>
      <c r="S72" s="115" t="str">
        <f t="shared" ref="S72:S74" si="82">IF(OR(T72="Preventivo",T72="Detectivo"),"Probabilidad",IF(T72="Correctivo","Impacto",""))</f>
        <v/>
      </c>
      <c r="T72" s="116"/>
      <c r="U72" s="116"/>
      <c r="V72" s="117" t="str">
        <f t="shared" si="77"/>
        <v/>
      </c>
      <c r="W72" s="116"/>
      <c r="X72" s="116"/>
      <c r="Y72" s="116"/>
      <c r="Z72" s="118" t="str">
        <f t="shared" ref="Z72:Z74" si="83">IFERROR(IF(AND(S71="Probabilidad",S72="Probabilidad"),(AB71-(+AB71*V72)),IF(AND(S71="Impacto",S72="Probabilidad"),(AB70-(+AB70*V72)),IF(S72="Impacto",AB71,""))),"")</f>
        <v/>
      </c>
      <c r="AA72" s="119" t="str">
        <f t="shared" si="78"/>
        <v/>
      </c>
      <c r="AB72" s="117" t="str">
        <f t="shared" si="79"/>
        <v/>
      </c>
      <c r="AC72" s="119" t="str">
        <f t="shared" si="80"/>
        <v/>
      </c>
      <c r="AD72" s="117" t="str">
        <f t="shared" ref="AD72:AD74" si="84">IFERROR(IF(AND(S71="Impacto",S72="Impacto"),(AD71-(+AD71*V72)),IF(AND(S71="Probabilidad",S72="Impacto"),(AD70-(+AD70*V72)),IF(S72="Probabilidad",AD71,""))),"")</f>
        <v/>
      </c>
      <c r="AE72" s="120" t="str">
        <f>IFERROR(IF(OR(AND(AA72="Muy Baja",AC72="Leve"),AND(AA72="Muy Baja",AC72="Menor"),AND(AA72="Baja",AC72="Leve")),"Bajo",IF(OR(AND(AA72="Muy baja",AC72="Moderado"),AND(AA72="Baja",AC72="Menor"),AND(AA72="Baja",AC72="Moderado"),AND(AA72="Media",AC72="Leve"),AND(AA72="Media",AC72="Menor"),AND(AA72="Media",AC72="Moderado"),AND(AA72="Alta",AC72="Leve"),AND(AA72="Alta",AC72="Menor")),"Moderado",IF(OR(AND(AA72="Muy Baja",AC72="Mayor"),AND(AA72="Baja",AC72="Mayor"),AND(AA72="Media",AC72="Mayor"),AND(AA72="Alta",AC72="Moderado"),AND(AA72="Alta",AC72="Mayor"),AND(AA72="Muy Alta",AC72="Leve"),AND(AA72="Muy Alta",AC72="Menor"),AND(AA72="Muy Alta",AC72="Moderado"),AND(AA72="Muy Alta",AC72="Mayor")),"Alto",IF(OR(AND(AA72="Muy Baja",AC72="Catastrófico"),AND(AA72="Baja",AC72="Catastrófico"),AND(AA72="Media",AC72="Catastrófico"),AND(AA72="Alta",AC72="Catastrófico"),AND(AA72="Muy Alta",AC72="Catastrófico")),"Extremo","")))),"")</f>
        <v/>
      </c>
      <c r="AF72" s="116"/>
      <c r="AG72" s="121"/>
      <c r="AH72" s="122"/>
      <c r="AI72" s="123"/>
      <c r="AJ72" s="123"/>
      <c r="AK72" s="121"/>
      <c r="AL72" s="122"/>
    </row>
    <row r="73" spans="1:38" x14ac:dyDescent="0.3">
      <c r="A73" s="209"/>
      <c r="B73" s="139"/>
      <c r="C73" s="139"/>
      <c r="D73" s="210"/>
      <c r="E73" s="200"/>
      <c r="F73" s="141"/>
      <c r="G73" s="210"/>
      <c r="H73" s="140"/>
      <c r="I73" s="211"/>
      <c r="J73" s="207"/>
      <c r="K73" s="206"/>
      <c r="L73" s="205"/>
      <c r="M73" s="206">
        <f ca="1">IF(NOT(ISERROR(MATCH(L73,_xlfn.ANCHORARRAY(E84),0))),K86&amp;"Por favor no seleccionar los criterios de impacto",L73)</f>
        <v>0</v>
      </c>
      <c r="N73" s="207"/>
      <c r="O73" s="206"/>
      <c r="P73" s="208"/>
      <c r="Q73" s="113">
        <v>5</v>
      </c>
      <c r="R73" s="114"/>
      <c r="S73" s="115" t="str">
        <f t="shared" si="82"/>
        <v/>
      </c>
      <c r="T73" s="116"/>
      <c r="U73" s="116"/>
      <c r="V73" s="117" t="str">
        <f t="shared" si="77"/>
        <v/>
      </c>
      <c r="W73" s="116"/>
      <c r="X73" s="116"/>
      <c r="Y73" s="116"/>
      <c r="Z73" s="118" t="str">
        <f t="shared" si="83"/>
        <v/>
      </c>
      <c r="AA73" s="119" t="str">
        <f t="shared" si="78"/>
        <v/>
      </c>
      <c r="AB73" s="117" t="str">
        <f t="shared" si="79"/>
        <v/>
      </c>
      <c r="AC73" s="119" t="str">
        <f t="shared" si="80"/>
        <v/>
      </c>
      <c r="AD73" s="117" t="str">
        <f t="shared" si="84"/>
        <v/>
      </c>
      <c r="AE73" s="120" t="str">
        <f t="shared" ref="AE73:AE74" si="85">IFERROR(IF(OR(AND(AA73="Muy Baja",AC73="Leve"),AND(AA73="Muy Baja",AC73="Menor"),AND(AA73="Baja",AC73="Leve")),"Bajo",IF(OR(AND(AA73="Muy baja",AC73="Moderado"),AND(AA73="Baja",AC73="Menor"),AND(AA73="Baja",AC73="Moderado"),AND(AA73="Media",AC73="Leve"),AND(AA73="Media",AC73="Menor"),AND(AA73="Media",AC73="Moderado"),AND(AA73="Alta",AC73="Leve"),AND(AA73="Alta",AC73="Menor")),"Moderado",IF(OR(AND(AA73="Muy Baja",AC73="Mayor"),AND(AA73="Baja",AC73="Mayor"),AND(AA73="Media",AC73="Mayor"),AND(AA73="Alta",AC73="Moderado"),AND(AA73="Alta",AC73="Mayor"),AND(AA73="Muy Alta",AC73="Leve"),AND(AA73="Muy Alta",AC73="Menor"),AND(AA73="Muy Alta",AC73="Moderado"),AND(AA73="Muy Alta",AC73="Mayor")),"Alto",IF(OR(AND(AA73="Muy Baja",AC73="Catastrófico"),AND(AA73="Baja",AC73="Catastrófico"),AND(AA73="Media",AC73="Catastrófico"),AND(AA73="Alta",AC73="Catastrófico"),AND(AA73="Muy Alta",AC73="Catastrófico")),"Extremo","")))),"")</f>
        <v/>
      </c>
      <c r="AF73" s="116"/>
      <c r="AG73" s="121"/>
      <c r="AH73" s="122"/>
      <c r="AI73" s="123"/>
      <c r="AJ73" s="123"/>
      <c r="AK73" s="121"/>
      <c r="AL73" s="122"/>
    </row>
    <row r="74" spans="1:38" x14ac:dyDescent="0.3">
      <c r="A74" s="209"/>
      <c r="B74" s="139"/>
      <c r="C74" s="139"/>
      <c r="D74" s="210"/>
      <c r="E74" s="200"/>
      <c r="F74" s="141"/>
      <c r="G74" s="210"/>
      <c r="H74" s="140"/>
      <c r="I74" s="211"/>
      <c r="J74" s="207"/>
      <c r="K74" s="206"/>
      <c r="L74" s="205"/>
      <c r="M74" s="206">
        <f ca="1">IF(NOT(ISERROR(MATCH(L74,_xlfn.ANCHORARRAY(E85),0))),K87&amp;"Por favor no seleccionar los criterios de impacto",L74)</f>
        <v>0</v>
      </c>
      <c r="N74" s="207"/>
      <c r="O74" s="206"/>
      <c r="P74" s="208"/>
      <c r="Q74" s="113">
        <v>6</v>
      </c>
      <c r="R74" s="114"/>
      <c r="S74" s="115" t="str">
        <f t="shared" si="82"/>
        <v/>
      </c>
      <c r="T74" s="116"/>
      <c r="U74" s="116"/>
      <c r="V74" s="117" t="str">
        <f t="shared" si="77"/>
        <v/>
      </c>
      <c r="W74" s="116"/>
      <c r="X74" s="116"/>
      <c r="Y74" s="116"/>
      <c r="Z74" s="118" t="str">
        <f t="shared" si="83"/>
        <v/>
      </c>
      <c r="AA74" s="119" t="str">
        <f t="shared" si="78"/>
        <v/>
      </c>
      <c r="AB74" s="117" t="str">
        <f t="shared" si="79"/>
        <v/>
      </c>
      <c r="AC74" s="119" t="str">
        <f t="shared" si="80"/>
        <v/>
      </c>
      <c r="AD74" s="117" t="str">
        <f t="shared" si="84"/>
        <v/>
      </c>
      <c r="AE74" s="120" t="str">
        <f t="shared" si="85"/>
        <v/>
      </c>
      <c r="AF74" s="116"/>
      <c r="AG74" s="121"/>
      <c r="AH74" s="122"/>
      <c r="AI74" s="123"/>
      <c r="AJ74" s="123"/>
      <c r="AK74" s="121"/>
      <c r="AL74" s="122"/>
    </row>
    <row r="75" spans="1:38" x14ac:dyDescent="0.3">
      <c r="A75" s="209">
        <v>2</v>
      </c>
      <c r="B75" s="139"/>
      <c r="C75" s="139"/>
      <c r="D75" s="210"/>
      <c r="E75" s="200"/>
      <c r="F75" s="141"/>
      <c r="G75" s="210"/>
      <c r="H75" s="140"/>
      <c r="I75" s="211"/>
      <c r="J75" s="207" t="str">
        <f>IF(I75&lt;=0,"",IF(I75&lt;=2,"Muy Baja",IF(I75&lt;=24,"Baja",IF(I75&lt;=500,"Media",IF(I75&lt;=5000,"Alta","Muy Alta")))))</f>
        <v/>
      </c>
      <c r="K75" s="206" t="str">
        <f>IF(J75="","",IF(J75="Muy Baja",0.2,IF(J75="Baja",0.4,IF(J75="Media",0.6,IF(J75="Alta",0.8,IF(J75="Muy Alta",1,))))))</f>
        <v/>
      </c>
      <c r="L75" s="205"/>
      <c r="M75" s="206">
        <f ca="1">IF(NOT(ISERROR(MATCH(L75,'Tabla Impacto'!$B$221:$B$223,0))),'Tabla Impacto'!$F$223&amp;"Por favor no seleccionar los criterios de impacto(Afectación Económica o presupuestal y Pérdida Reputacional)",L75)</f>
        <v>0</v>
      </c>
      <c r="N75" s="207" t="str">
        <f ca="1">IF(OR(M75='Tabla Impacto'!$C$11,M75='Tabla Impacto'!$D$11),"Leve",IF(OR(M75='Tabla Impacto'!$C$12,M75='Tabla Impacto'!$D$12),"Menor",IF(OR(M75='Tabla Impacto'!$C$13,M75='Tabla Impacto'!$D$13),"Moderado",IF(OR(M75='Tabla Impacto'!$C$14,M75='Tabla Impacto'!$D$14),"Mayor",IF(OR(M75='Tabla Impacto'!$C$15,M75='Tabla Impacto'!$D$15),"Catastrófico","")))))</f>
        <v/>
      </c>
      <c r="O75" s="206" t="str">
        <f ca="1">IF(N75="","",IF(N75="Leve",0.2,IF(N75="Menor",0.4,IF(N75="Moderado",0.6,IF(N75="Mayor",0.8,IF(N75="Catastrófico",1,))))))</f>
        <v/>
      </c>
      <c r="P75" s="208" t="str">
        <f ca="1">IF(OR(AND(J75="Muy Baja",N75="Leve"),AND(J75="Muy Baja",N75="Menor"),AND(J75="Baja",N75="Leve")),"Bajo",IF(OR(AND(J75="Muy baja",N75="Moderado"),AND(J75="Baja",N75="Menor"),AND(J75="Baja",N75="Moderado"),AND(J75="Media",N75="Leve"),AND(J75="Media",N75="Menor"),AND(J75="Media",N75="Moderado"),AND(J75="Alta",N75="Leve"),AND(J75="Alta",N75="Menor")),"Moderado",IF(OR(AND(J75="Muy Baja",N75="Mayor"),AND(J75="Baja",N75="Mayor"),AND(J75="Media",N75="Mayor"),AND(J75="Alta",N75="Moderado"),AND(J75="Alta",N75="Mayor"),AND(J75="Muy Alta",N75="Leve"),AND(J75="Muy Alta",N75="Menor"),AND(J75="Muy Alta",N75="Moderado"),AND(J75="Muy Alta",N75="Mayor")),"Alto",IF(OR(AND(J75="Muy Baja",N75="Catastrófico"),AND(J75="Baja",N75="Catastrófico"),AND(J75="Media",N75="Catastrófico"),AND(J75="Alta",N75="Catastrófico"),AND(J75="Muy Alta",N75="Catastrófico")),"Extremo",""))))</f>
        <v/>
      </c>
      <c r="Q75" s="113">
        <v>1</v>
      </c>
      <c r="R75" s="114"/>
      <c r="S75" s="115" t="str">
        <f>IF(OR(T75="Preventivo",T75="Detectivo"),"Probabilidad",IF(T75="Correctivo","Impacto",""))</f>
        <v/>
      </c>
      <c r="T75" s="116"/>
      <c r="U75" s="116"/>
      <c r="V75" s="117" t="str">
        <f>IF(AND(T75="Preventivo",U75="Automático"),"50%",IF(AND(T75="Preventivo",U75="Manual"),"40%",IF(AND(T75="Detectivo",U75="Automático"),"40%",IF(AND(T75="Detectivo",U75="Manual"),"30%",IF(AND(T75="Correctivo",U75="Automático"),"35%",IF(AND(T75="Correctivo",U75="Manual"),"25%",""))))))</f>
        <v/>
      </c>
      <c r="W75" s="116"/>
      <c r="X75" s="116"/>
      <c r="Y75" s="116"/>
      <c r="Z75" s="118" t="str">
        <f>IFERROR(IF(S75="Probabilidad",(K75-(+K75*V75)),IF(S75="Impacto",K75,"")),"")</f>
        <v/>
      </c>
      <c r="AA75" s="119" t="str">
        <f>IFERROR(IF(Z75="","",IF(Z75&lt;=0.2,"Muy Baja",IF(Z75&lt;=0.4,"Baja",IF(Z75&lt;=0.6,"Media",IF(Z75&lt;=0.8,"Alta","Muy Alta"))))),"")</f>
        <v/>
      </c>
      <c r="AB75" s="117" t="str">
        <f>+Z75</f>
        <v/>
      </c>
      <c r="AC75" s="119" t="str">
        <f>IFERROR(IF(AD75="","",IF(AD75&lt;=0.2,"Leve",IF(AD75&lt;=0.4,"Menor",IF(AD75&lt;=0.6,"Moderado",IF(AD75&lt;=0.8,"Mayor","Catastrófico"))))),"")</f>
        <v/>
      </c>
      <c r="AD75" s="117" t="str">
        <f>IFERROR(IF(S75="Impacto",(O75-(+O75*V75)),IF(S75="Probabilidad",O75,"")),"")</f>
        <v/>
      </c>
      <c r="AE75" s="120" t="str">
        <f>IFERROR(IF(OR(AND(AA75="Muy Baja",AC75="Leve"),AND(AA75="Muy Baja",AC75="Menor"),AND(AA75="Baja",AC75="Leve")),"Bajo",IF(OR(AND(AA75="Muy baja",AC75="Moderado"),AND(AA75="Baja",AC75="Menor"),AND(AA75="Baja",AC75="Moderado"),AND(AA75="Media",AC75="Leve"),AND(AA75="Media",AC75="Menor"),AND(AA75="Media",AC75="Moderado"),AND(AA75="Alta",AC75="Leve"),AND(AA75="Alta",AC75="Menor")),"Moderado",IF(OR(AND(AA75="Muy Baja",AC75="Mayor"),AND(AA75="Baja",AC75="Mayor"),AND(AA75="Media",AC75="Mayor"),AND(AA75="Alta",AC75="Moderado"),AND(AA75="Alta",AC75="Mayor"),AND(AA75="Muy Alta",AC75="Leve"),AND(AA75="Muy Alta",AC75="Menor"),AND(AA75="Muy Alta",AC75="Moderado"),AND(AA75="Muy Alta",AC75="Mayor")),"Alto",IF(OR(AND(AA75="Muy Baja",AC75="Catastrófico"),AND(AA75="Baja",AC75="Catastrófico"),AND(AA75="Media",AC75="Catastrófico"),AND(AA75="Alta",AC75="Catastrófico"),AND(AA75="Muy Alta",AC75="Catastrófico")),"Extremo","")))),"")</f>
        <v/>
      </c>
      <c r="AF75" s="116"/>
      <c r="AG75" s="121"/>
      <c r="AH75" s="122"/>
      <c r="AI75" s="123"/>
      <c r="AJ75" s="123"/>
      <c r="AK75" s="121"/>
      <c r="AL75" s="122"/>
    </row>
    <row r="76" spans="1:38" x14ac:dyDescent="0.3">
      <c r="A76" s="209"/>
      <c r="B76" s="139"/>
      <c r="C76" s="139"/>
      <c r="D76" s="210"/>
      <c r="E76" s="200"/>
      <c r="F76" s="141"/>
      <c r="G76" s="210"/>
      <c r="H76" s="140"/>
      <c r="I76" s="211"/>
      <c r="J76" s="207"/>
      <c r="K76" s="206"/>
      <c r="L76" s="205"/>
      <c r="M76" s="206">
        <f ca="1">IF(NOT(ISERROR(MATCH(L76,_xlfn.ANCHORARRAY(E87),0))),K89&amp;"Por favor no seleccionar los criterios de impacto",L76)</f>
        <v>0</v>
      </c>
      <c r="N76" s="207"/>
      <c r="O76" s="206"/>
      <c r="P76" s="208"/>
      <c r="Q76" s="113">
        <v>2</v>
      </c>
      <c r="R76" s="114"/>
      <c r="S76" s="115" t="str">
        <f>IF(OR(T76="Preventivo",T76="Detectivo"),"Probabilidad",IF(T76="Correctivo","Impacto",""))</f>
        <v/>
      </c>
      <c r="T76" s="116"/>
      <c r="U76" s="116"/>
      <c r="V76" s="117" t="str">
        <f t="shared" ref="V76:V80" si="86">IF(AND(T76="Preventivo",U76="Automático"),"50%",IF(AND(T76="Preventivo",U76="Manual"),"40%",IF(AND(T76="Detectivo",U76="Automático"),"40%",IF(AND(T76="Detectivo",U76="Manual"),"30%",IF(AND(T76="Correctivo",U76="Automático"),"35%",IF(AND(T76="Correctivo",U76="Manual"),"25%",""))))))</f>
        <v/>
      </c>
      <c r="W76" s="116"/>
      <c r="X76" s="116"/>
      <c r="Y76" s="116"/>
      <c r="Z76" s="118" t="str">
        <f>IFERROR(IF(AND(S75="Probabilidad",S76="Probabilidad"),(AB75-(+AB75*V76)),IF(S76="Probabilidad",(K75-(+K75*V76)),IF(S76="Impacto",AB75,""))),"")</f>
        <v/>
      </c>
      <c r="AA76" s="119" t="str">
        <f t="shared" ref="AA76:AA80" si="87">IFERROR(IF(Z76="","",IF(Z76&lt;=0.2,"Muy Baja",IF(Z76&lt;=0.4,"Baja",IF(Z76&lt;=0.6,"Media",IF(Z76&lt;=0.8,"Alta","Muy Alta"))))),"")</f>
        <v/>
      </c>
      <c r="AB76" s="117" t="str">
        <f t="shared" ref="AB76:AB80" si="88">+Z76</f>
        <v/>
      </c>
      <c r="AC76" s="119" t="str">
        <f t="shared" ref="AC76:AC80" si="89">IFERROR(IF(AD76="","",IF(AD76&lt;=0.2,"Leve",IF(AD76&lt;=0.4,"Menor",IF(AD76&lt;=0.6,"Moderado",IF(AD76&lt;=0.8,"Mayor","Catastrófico"))))),"")</f>
        <v/>
      </c>
      <c r="AD76" s="117" t="str">
        <f>IFERROR(IF(AND(S75="Impacto",S76="Impacto"),(AD69-(+AD69*V76)),IF(S76="Impacto",($O$15-(+$O$15*V76)),IF(S76="Probabilidad",AD69,""))),"")</f>
        <v/>
      </c>
      <c r="AE76" s="120" t="str">
        <f t="shared" ref="AE76:AE77" si="90">IFERROR(IF(OR(AND(AA76="Muy Baja",AC76="Leve"),AND(AA76="Muy Baja",AC76="Menor"),AND(AA76="Baja",AC76="Leve")),"Bajo",IF(OR(AND(AA76="Muy baja",AC76="Moderado"),AND(AA76="Baja",AC76="Menor"),AND(AA76="Baja",AC76="Moderado"),AND(AA76="Media",AC76="Leve"),AND(AA76="Media",AC76="Menor"),AND(AA76="Media",AC76="Moderado"),AND(AA76="Alta",AC76="Leve"),AND(AA76="Alta",AC76="Menor")),"Moderado",IF(OR(AND(AA76="Muy Baja",AC76="Mayor"),AND(AA76="Baja",AC76="Mayor"),AND(AA76="Media",AC76="Mayor"),AND(AA76="Alta",AC76="Moderado"),AND(AA76="Alta",AC76="Mayor"),AND(AA76="Muy Alta",AC76="Leve"),AND(AA76="Muy Alta",AC76="Menor"),AND(AA76="Muy Alta",AC76="Moderado"),AND(AA76="Muy Alta",AC76="Mayor")),"Alto",IF(OR(AND(AA76="Muy Baja",AC76="Catastrófico"),AND(AA76="Baja",AC76="Catastrófico"),AND(AA76="Media",AC76="Catastrófico"),AND(AA76="Alta",AC76="Catastrófico"),AND(AA76="Muy Alta",AC76="Catastrófico")),"Extremo","")))),"")</f>
        <v/>
      </c>
      <c r="AF76" s="116"/>
      <c r="AG76" s="121"/>
      <c r="AH76" s="122"/>
      <c r="AI76" s="123"/>
      <c r="AJ76" s="123"/>
      <c r="AK76" s="121"/>
      <c r="AL76" s="122"/>
    </row>
    <row r="77" spans="1:38" x14ac:dyDescent="0.3">
      <c r="A77" s="209"/>
      <c r="B77" s="139"/>
      <c r="C77" s="139"/>
      <c r="D77" s="210"/>
      <c r="E77" s="200"/>
      <c r="F77" s="141"/>
      <c r="G77" s="210"/>
      <c r="H77" s="140"/>
      <c r="I77" s="211"/>
      <c r="J77" s="207"/>
      <c r="K77" s="206"/>
      <c r="L77" s="205"/>
      <c r="M77" s="206">
        <f ca="1">IF(NOT(ISERROR(MATCH(L77,_xlfn.ANCHORARRAY(E88),0))),K90&amp;"Por favor no seleccionar los criterios de impacto",L77)</f>
        <v>0</v>
      </c>
      <c r="N77" s="207"/>
      <c r="O77" s="206"/>
      <c r="P77" s="208"/>
      <c r="Q77" s="113">
        <v>3</v>
      </c>
      <c r="R77" s="126"/>
      <c r="S77" s="115" t="str">
        <f>IF(OR(T77="Preventivo",T77="Detectivo"),"Probabilidad",IF(T77="Correctivo","Impacto",""))</f>
        <v/>
      </c>
      <c r="T77" s="116"/>
      <c r="U77" s="116"/>
      <c r="V77" s="117" t="str">
        <f t="shared" si="86"/>
        <v/>
      </c>
      <c r="W77" s="116"/>
      <c r="X77" s="116"/>
      <c r="Y77" s="116"/>
      <c r="Z77" s="118" t="str">
        <f>IFERROR(IF(AND(S76="Probabilidad",S77="Probabilidad"),(AB76-(+AB76*V77)),IF(AND(S76="Impacto",S77="Probabilidad"),(AB75-(+AB75*V77)),IF(S77="Impacto",AB76,""))),"")</f>
        <v/>
      </c>
      <c r="AA77" s="119" t="str">
        <f t="shared" si="87"/>
        <v/>
      </c>
      <c r="AB77" s="117" t="str">
        <f t="shared" si="88"/>
        <v/>
      </c>
      <c r="AC77" s="119" t="str">
        <f t="shared" si="89"/>
        <v/>
      </c>
      <c r="AD77" s="117" t="str">
        <f>IFERROR(IF(AND(S76="Impacto",S77="Impacto"),(AD76-(+AD76*V77)),IF(AND(S76="Probabilidad",S77="Impacto"),(AD75-(+AD75*V77)),IF(S77="Probabilidad",AD76,""))),"")</f>
        <v/>
      </c>
      <c r="AE77" s="120" t="str">
        <f t="shared" si="90"/>
        <v/>
      </c>
      <c r="AF77" s="116"/>
      <c r="AG77" s="121"/>
      <c r="AH77" s="122"/>
      <c r="AI77" s="123"/>
      <c r="AJ77" s="123"/>
      <c r="AK77" s="121"/>
      <c r="AL77" s="122"/>
    </row>
    <row r="78" spans="1:38" x14ac:dyDescent="0.3">
      <c r="A78" s="209"/>
      <c r="B78" s="139"/>
      <c r="C78" s="139"/>
      <c r="D78" s="210"/>
      <c r="E78" s="200"/>
      <c r="F78" s="141"/>
      <c r="G78" s="210"/>
      <c r="H78" s="140"/>
      <c r="I78" s="211"/>
      <c r="J78" s="207"/>
      <c r="K78" s="206"/>
      <c r="L78" s="205"/>
      <c r="M78" s="206">
        <f ca="1">IF(NOT(ISERROR(MATCH(L78,_xlfn.ANCHORARRAY(E89),0))),K91&amp;"Por favor no seleccionar los criterios de impacto",L78)</f>
        <v>0</v>
      </c>
      <c r="N78" s="207"/>
      <c r="O78" s="206"/>
      <c r="P78" s="208"/>
      <c r="Q78" s="113">
        <v>4</v>
      </c>
      <c r="R78" s="114"/>
      <c r="S78" s="115" t="str">
        <f t="shared" ref="S78:S80" si="91">IF(OR(T78="Preventivo",T78="Detectivo"),"Probabilidad",IF(T78="Correctivo","Impacto",""))</f>
        <v/>
      </c>
      <c r="T78" s="116"/>
      <c r="U78" s="116"/>
      <c r="V78" s="117" t="str">
        <f t="shared" si="86"/>
        <v/>
      </c>
      <c r="W78" s="116"/>
      <c r="X78" s="116"/>
      <c r="Y78" s="116"/>
      <c r="Z78" s="118" t="str">
        <f t="shared" ref="Z78:Z80" si="92">IFERROR(IF(AND(S77="Probabilidad",S78="Probabilidad"),(AB77-(+AB77*V78)),IF(AND(S77="Impacto",S78="Probabilidad"),(AB76-(+AB76*V78)),IF(S78="Impacto",AB77,""))),"")</f>
        <v/>
      </c>
      <c r="AA78" s="119" t="str">
        <f t="shared" si="87"/>
        <v/>
      </c>
      <c r="AB78" s="117" t="str">
        <f t="shared" si="88"/>
        <v/>
      </c>
      <c r="AC78" s="119" t="str">
        <f t="shared" si="89"/>
        <v/>
      </c>
      <c r="AD78" s="117" t="str">
        <f t="shared" ref="AD78:AD80" si="93">IFERROR(IF(AND(S77="Impacto",S78="Impacto"),(AD77-(+AD77*V78)),IF(AND(S77="Probabilidad",S78="Impacto"),(AD76-(+AD76*V78)),IF(S78="Probabilidad",AD77,""))),"")</f>
        <v/>
      </c>
      <c r="AE78" s="120" t="str">
        <f>IFERROR(IF(OR(AND(AA78="Muy Baja",AC78="Leve"),AND(AA78="Muy Baja",AC78="Menor"),AND(AA78="Baja",AC78="Leve")),"Bajo",IF(OR(AND(AA78="Muy baja",AC78="Moderado"),AND(AA78="Baja",AC78="Menor"),AND(AA78="Baja",AC78="Moderado"),AND(AA78="Media",AC78="Leve"),AND(AA78="Media",AC78="Menor"),AND(AA78="Media",AC78="Moderado"),AND(AA78="Alta",AC78="Leve"),AND(AA78="Alta",AC78="Menor")),"Moderado",IF(OR(AND(AA78="Muy Baja",AC78="Mayor"),AND(AA78="Baja",AC78="Mayor"),AND(AA78="Media",AC78="Mayor"),AND(AA78="Alta",AC78="Moderado"),AND(AA78="Alta",AC78="Mayor"),AND(AA78="Muy Alta",AC78="Leve"),AND(AA78="Muy Alta",AC78="Menor"),AND(AA78="Muy Alta",AC78="Moderado"),AND(AA78="Muy Alta",AC78="Mayor")),"Alto",IF(OR(AND(AA78="Muy Baja",AC78="Catastrófico"),AND(AA78="Baja",AC78="Catastrófico"),AND(AA78="Media",AC78="Catastrófico"),AND(AA78="Alta",AC78="Catastrófico"),AND(AA78="Muy Alta",AC78="Catastrófico")),"Extremo","")))),"")</f>
        <v/>
      </c>
      <c r="AF78" s="116"/>
      <c r="AG78" s="121"/>
      <c r="AH78" s="122"/>
      <c r="AI78" s="123"/>
      <c r="AJ78" s="123"/>
      <c r="AK78" s="121"/>
      <c r="AL78" s="122"/>
    </row>
    <row r="79" spans="1:38" x14ac:dyDescent="0.3">
      <c r="A79" s="209"/>
      <c r="B79" s="139"/>
      <c r="C79" s="139"/>
      <c r="D79" s="210"/>
      <c r="E79" s="200"/>
      <c r="F79" s="141"/>
      <c r="G79" s="210"/>
      <c r="H79" s="140"/>
      <c r="I79" s="211"/>
      <c r="J79" s="207"/>
      <c r="K79" s="206"/>
      <c r="L79" s="205"/>
      <c r="M79" s="206">
        <f ca="1">IF(NOT(ISERROR(MATCH(L79,_xlfn.ANCHORARRAY(E90),0))),K92&amp;"Por favor no seleccionar los criterios de impacto",L79)</f>
        <v>0</v>
      </c>
      <c r="N79" s="207"/>
      <c r="O79" s="206"/>
      <c r="P79" s="208"/>
      <c r="Q79" s="113">
        <v>5</v>
      </c>
      <c r="R79" s="114"/>
      <c r="S79" s="115" t="str">
        <f t="shared" si="91"/>
        <v/>
      </c>
      <c r="T79" s="116"/>
      <c r="U79" s="116"/>
      <c r="V79" s="117" t="str">
        <f t="shared" si="86"/>
        <v/>
      </c>
      <c r="W79" s="116"/>
      <c r="X79" s="116"/>
      <c r="Y79" s="116"/>
      <c r="Z79" s="118" t="str">
        <f t="shared" si="92"/>
        <v/>
      </c>
      <c r="AA79" s="119" t="str">
        <f t="shared" si="87"/>
        <v/>
      </c>
      <c r="AB79" s="117" t="str">
        <f t="shared" si="88"/>
        <v/>
      </c>
      <c r="AC79" s="119" t="str">
        <f t="shared" si="89"/>
        <v/>
      </c>
      <c r="AD79" s="117" t="str">
        <f t="shared" si="93"/>
        <v/>
      </c>
      <c r="AE79" s="120" t="str">
        <f t="shared" ref="AE79:AE80" si="94">IFERROR(IF(OR(AND(AA79="Muy Baja",AC79="Leve"),AND(AA79="Muy Baja",AC79="Menor"),AND(AA79="Baja",AC79="Leve")),"Bajo",IF(OR(AND(AA79="Muy baja",AC79="Moderado"),AND(AA79="Baja",AC79="Menor"),AND(AA79="Baja",AC79="Moderado"),AND(AA79="Media",AC79="Leve"),AND(AA79="Media",AC79="Menor"),AND(AA79="Media",AC79="Moderado"),AND(AA79="Alta",AC79="Leve"),AND(AA79="Alta",AC79="Menor")),"Moderado",IF(OR(AND(AA79="Muy Baja",AC79="Mayor"),AND(AA79="Baja",AC79="Mayor"),AND(AA79="Media",AC79="Mayor"),AND(AA79="Alta",AC79="Moderado"),AND(AA79="Alta",AC79="Mayor"),AND(AA79="Muy Alta",AC79="Leve"),AND(AA79="Muy Alta",AC79="Menor"),AND(AA79="Muy Alta",AC79="Moderado"),AND(AA79="Muy Alta",AC79="Mayor")),"Alto",IF(OR(AND(AA79="Muy Baja",AC79="Catastrófico"),AND(AA79="Baja",AC79="Catastrófico"),AND(AA79="Media",AC79="Catastrófico"),AND(AA79="Alta",AC79="Catastrófico"),AND(AA79="Muy Alta",AC79="Catastrófico")),"Extremo","")))),"")</f>
        <v/>
      </c>
      <c r="AF79" s="116"/>
      <c r="AG79" s="121"/>
      <c r="AH79" s="122"/>
      <c r="AI79" s="123"/>
      <c r="AJ79" s="123"/>
      <c r="AK79" s="121"/>
      <c r="AL79" s="122"/>
    </row>
    <row r="80" spans="1:38" x14ac:dyDescent="0.3">
      <c r="A80" s="209"/>
      <c r="B80" s="139"/>
      <c r="C80" s="139"/>
      <c r="D80" s="210"/>
      <c r="E80" s="200"/>
      <c r="F80" s="141"/>
      <c r="G80" s="210"/>
      <c r="H80" s="140"/>
      <c r="I80" s="211"/>
      <c r="J80" s="207"/>
      <c r="K80" s="206"/>
      <c r="L80" s="205"/>
      <c r="M80" s="206">
        <f ca="1">IF(NOT(ISERROR(MATCH(L80,_xlfn.ANCHORARRAY(E91),0))),K93&amp;"Por favor no seleccionar los criterios de impacto",L80)</f>
        <v>0</v>
      </c>
      <c r="N80" s="207"/>
      <c r="O80" s="206"/>
      <c r="P80" s="208"/>
      <c r="Q80" s="113">
        <v>6</v>
      </c>
      <c r="R80" s="114"/>
      <c r="S80" s="115" t="str">
        <f t="shared" si="91"/>
        <v/>
      </c>
      <c r="T80" s="116"/>
      <c r="U80" s="116"/>
      <c r="V80" s="117" t="str">
        <f t="shared" si="86"/>
        <v/>
      </c>
      <c r="W80" s="116"/>
      <c r="X80" s="116"/>
      <c r="Y80" s="116"/>
      <c r="Z80" s="118" t="str">
        <f t="shared" si="92"/>
        <v/>
      </c>
      <c r="AA80" s="119" t="str">
        <f t="shared" si="87"/>
        <v/>
      </c>
      <c r="AB80" s="117" t="str">
        <f t="shared" si="88"/>
        <v/>
      </c>
      <c r="AC80" s="119" t="str">
        <f t="shared" si="89"/>
        <v/>
      </c>
      <c r="AD80" s="117" t="str">
        <f t="shared" si="93"/>
        <v/>
      </c>
      <c r="AE80" s="120" t="str">
        <f t="shared" si="94"/>
        <v/>
      </c>
      <c r="AF80" s="116"/>
      <c r="AG80" s="121"/>
      <c r="AH80" s="122"/>
      <c r="AI80" s="123"/>
      <c r="AJ80" s="123"/>
      <c r="AK80" s="121"/>
      <c r="AL80" s="122"/>
    </row>
    <row r="81" spans="1:38" x14ac:dyDescent="0.3">
      <c r="A81" s="209">
        <v>3</v>
      </c>
      <c r="B81" s="139"/>
      <c r="C81" s="139"/>
      <c r="D81" s="210"/>
      <c r="E81" s="200"/>
      <c r="F81" s="141"/>
      <c r="G81" s="210"/>
      <c r="H81" s="140"/>
      <c r="I81" s="211"/>
      <c r="J81" s="207" t="str">
        <f>IF(I81&lt;=0,"",IF(I81&lt;=2,"Muy Baja",IF(I81&lt;=24,"Baja",IF(I81&lt;=500,"Media",IF(I81&lt;=5000,"Alta","Muy Alta")))))</f>
        <v/>
      </c>
      <c r="K81" s="206" t="str">
        <f>IF(J81="","",IF(J81="Muy Baja",0.2,IF(J81="Baja",0.4,IF(J81="Media",0.6,IF(J81="Alta",0.8,IF(J81="Muy Alta",1,))))))</f>
        <v/>
      </c>
      <c r="L81" s="205"/>
      <c r="M81" s="206">
        <f ca="1">IF(NOT(ISERROR(MATCH(L81,'Tabla Impacto'!$B$221:$B$223,0))),'Tabla Impacto'!$F$223&amp;"Por favor no seleccionar los criterios de impacto(Afectación Económica o presupuestal y Pérdida Reputacional)",L81)</f>
        <v>0</v>
      </c>
      <c r="N81" s="207" t="str">
        <f ca="1">IF(OR(M81='Tabla Impacto'!$C$11,M81='Tabla Impacto'!$D$11),"Leve",IF(OR(M81='Tabla Impacto'!$C$12,M81='Tabla Impacto'!$D$12),"Menor",IF(OR(M81='Tabla Impacto'!$C$13,M81='Tabla Impacto'!$D$13),"Moderado",IF(OR(M81='Tabla Impacto'!$C$14,M81='Tabla Impacto'!$D$14),"Mayor",IF(OR(M81='Tabla Impacto'!$C$15,M81='Tabla Impacto'!$D$15),"Catastrófico","")))))</f>
        <v/>
      </c>
      <c r="O81" s="206" t="str">
        <f ca="1">IF(N81="","",IF(N81="Leve",0.2,IF(N81="Menor",0.4,IF(N81="Moderado",0.6,IF(N81="Mayor",0.8,IF(N81="Catastrófico",1,))))))</f>
        <v/>
      </c>
      <c r="P81" s="208" t="str">
        <f ca="1">IF(OR(AND(J81="Muy Baja",N81="Leve"),AND(J81="Muy Baja",N81="Menor"),AND(J81="Baja",N81="Leve")),"Bajo",IF(OR(AND(J81="Muy baja",N81="Moderado"),AND(J81="Baja",N81="Menor"),AND(J81="Baja",N81="Moderado"),AND(J81="Media",N81="Leve"),AND(J81="Media",N81="Menor"),AND(J81="Media",N81="Moderado"),AND(J81="Alta",N81="Leve"),AND(J81="Alta",N81="Menor")),"Moderado",IF(OR(AND(J81="Muy Baja",N81="Mayor"),AND(J81="Baja",N81="Mayor"),AND(J81="Media",N81="Mayor"),AND(J81="Alta",N81="Moderado"),AND(J81="Alta",N81="Mayor"),AND(J81="Muy Alta",N81="Leve"),AND(J81="Muy Alta",N81="Menor"),AND(J81="Muy Alta",N81="Moderado"),AND(J81="Muy Alta",N81="Mayor")),"Alto",IF(OR(AND(J81="Muy Baja",N81="Catastrófico"),AND(J81="Baja",N81="Catastrófico"),AND(J81="Media",N81="Catastrófico"),AND(J81="Alta",N81="Catastrófico"),AND(J81="Muy Alta",N81="Catastrófico")),"Extremo",""))))</f>
        <v/>
      </c>
      <c r="Q81" s="113">
        <v>1</v>
      </c>
      <c r="R81" s="114"/>
      <c r="S81" s="115" t="str">
        <f>IF(OR(T81="Preventivo",T81="Detectivo"),"Probabilidad",IF(T81="Correctivo","Impacto",""))</f>
        <v/>
      </c>
      <c r="T81" s="116"/>
      <c r="U81" s="116"/>
      <c r="V81" s="117" t="str">
        <f>IF(AND(T81="Preventivo",U81="Automático"),"50%",IF(AND(T81="Preventivo",U81="Manual"),"40%",IF(AND(T81="Detectivo",U81="Automático"),"40%",IF(AND(T81="Detectivo",U81="Manual"),"30%",IF(AND(T81="Correctivo",U81="Automático"),"35%",IF(AND(T81="Correctivo",U81="Manual"),"25%",""))))))</f>
        <v/>
      </c>
      <c r="W81" s="116"/>
      <c r="X81" s="116"/>
      <c r="Y81" s="116"/>
      <c r="Z81" s="118" t="str">
        <f>IFERROR(IF(S81="Probabilidad",(K81-(+K81*V81)),IF(S81="Impacto",K81,"")),"")</f>
        <v/>
      </c>
      <c r="AA81" s="119" t="str">
        <f>IFERROR(IF(Z81="","",IF(Z81&lt;=0.2,"Muy Baja",IF(Z81&lt;=0.4,"Baja",IF(Z81&lt;=0.6,"Media",IF(Z81&lt;=0.8,"Alta","Muy Alta"))))),"")</f>
        <v/>
      </c>
      <c r="AB81" s="117" t="str">
        <f>+Z81</f>
        <v/>
      </c>
      <c r="AC81" s="119" t="str">
        <f>IFERROR(IF(AD81="","",IF(AD81&lt;=0.2,"Leve",IF(AD81&lt;=0.4,"Menor",IF(AD81&lt;=0.6,"Moderado",IF(AD81&lt;=0.8,"Mayor","Catastrófico"))))),"")</f>
        <v/>
      </c>
      <c r="AD81" s="117" t="str">
        <f>IFERROR(IF(S81="Impacto",(O81-(+O81*V81)),IF(S81="Probabilidad",O81,"")),"")</f>
        <v/>
      </c>
      <c r="AE81" s="120" t="str">
        <f>IFERROR(IF(OR(AND(AA81="Muy Baja",AC81="Leve"),AND(AA81="Muy Baja",AC81="Menor"),AND(AA81="Baja",AC81="Leve")),"Bajo",IF(OR(AND(AA81="Muy baja",AC81="Moderado"),AND(AA81="Baja",AC81="Menor"),AND(AA81="Baja",AC81="Moderado"),AND(AA81="Media",AC81="Leve"),AND(AA81="Media",AC81="Menor"),AND(AA81="Media",AC81="Moderado"),AND(AA81="Alta",AC81="Leve"),AND(AA81="Alta",AC81="Menor")),"Moderado",IF(OR(AND(AA81="Muy Baja",AC81="Mayor"),AND(AA81="Baja",AC81="Mayor"),AND(AA81="Media",AC81="Mayor"),AND(AA81="Alta",AC81="Moderado"),AND(AA81="Alta",AC81="Mayor"),AND(AA81="Muy Alta",AC81="Leve"),AND(AA81="Muy Alta",AC81="Menor"),AND(AA81="Muy Alta",AC81="Moderado"),AND(AA81="Muy Alta",AC81="Mayor")),"Alto",IF(OR(AND(AA81="Muy Baja",AC81="Catastrófico"),AND(AA81="Baja",AC81="Catastrófico"),AND(AA81="Media",AC81="Catastrófico"),AND(AA81="Alta",AC81="Catastrófico"),AND(AA81="Muy Alta",AC81="Catastrófico")),"Extremo","")))),"")</f>
        <v/>
      </c>
      <c r="AF81" s="116"/>
      <c r="AG81" s="121"/>
      <c r="AH81" s="122"/>
      <c r="AI81" s="123"/>
      <c r="AJ81" s="123"/>
      <c r="AK81" s="121"/>
      <c r="AL81" s="122"/>
    </row>
    <row r="82" spans="1:38" x14ac:dyDescent="0.3">
      <c r="A82" s="209"/>
      <c r="B82" s="139"/>
      <c r="C82" s="139"/>
      <c r="D82" s="210"/>
      <c r="E82" s="200"/>
      <c r="F82" s="141"/>
      <c r="G82" s="210"/>
      <c r="H82" s="140"/>
      <c r="I82" s="211"/>
      <c r="J82" s="207"/>
      <c r="K82" s="206"/>
      <c r="L82" s="205"/>
      <c r="M82" s="206">
        <f t="shared" ref="M82:M86" ca="1" si="95">IF(NOT(ISERROR(MATCH(L82,_xlfn.ANCHORARRAY(E93),0))),K95&amp;"Por favor no seleccionar los criterios de impacto",L82)</f>
        <v>0</v>
      </c>
      <c r="N82" s="207"/>
      <c r="O82" s="206"/>
      <c r="P82" s="208"/>
      <c r="Q82" s="113">
        <v>2</v>
      </c>
      <c r="R82" s="114"/>
      <c r="S82" s="115" t="str">
        <f>IF(OR(T82="Preventivo",T82="Detectivo"),"Probabilidad",IF(T82="Correctivo","Impacto",""))</f>
        <v/>
      </c>
      <c r="T82" s="116"/>
      <c r="U82" s="116"/>
      <c r="V82" s="117" t="str">
        <f t="shared" ref="V82:V86" si="96">IF(AND(T82="Preventivo",U82="Automático"),"50%",IF(AND(T82="Preventivo",U82="Manual"),"40%",IF(AND(T82="Detectivo",U82="Automático"),"40%",IF(AND(T82="Detectivo",U82="Manual"),"30%",IF(AND(T82="Correctivo",U82="Automático"),"35%",IF(AND(T82="Correctivo",U82="Manual"),"25%",""))))))</f>
        <v/>
      </c>
      <c r="W82" s="116"/>
      <c r="X82" s="116"/>
      <c r="Y82" s="116"/>
      <c r="Z82" s="127" t="str">
        <f>IFERROR(IF(AND(S81="Probabilidad",S82="Probabilidad"),(AB81-(+AB81*V82)),IF(S82="Probabilidad",(K81-(+K81*V82)),IF(S82="Impacto",AB81,""))),"")</f>
        <v/>
      </c>
      <c r="AA82" s="119" t="str">
        <f t="shared" ref="AA82:AA86" si="97">IFERROR(IF(Z82="","",IF(Z82&lt;=0.2,"Muy Baja",IF(Z82&lt;=0.4,"Baja",IF(Z82&lt;=0.6,"Media",IF(Z82&lt;=0.8,"Alta","Muy Alta"))))),"")</f>
        <v/>
      </c>
      <c r="AB82" s="117" t="str">
        <f t="shared" ref="AB82:AB86" si="98">+Z82</f>
        <v/>
      </c>
      <c r="AC82" s="119" t="str">
        <f t="shared" ref="AC82:AC86" si="99">IFERROR(IF(AD82="","",IF(AD82&lt;=0.2,"Leve",IF(AD82&lt;=0.4,"Menor",IF(AD82&lt;=0.6,"Moderado",IF(AD82&lt;=0.8,"Mayor","Catastrófico"))))),"")</f>
        <v/>
      </c>
      <c r="AD82" s="117" t="str">
        <f>IFERROR(IF(AND(S81="Impacto",S82="Impacto"),(AD75-(+AD75*V82)),IF(S82="Impacto",($O$21-(+$O$21*V82)),IF(S82="Probabilidad",AD75,""))),"")</f>
        <v/>
      </c>
      <c r="AE82" s="120" t="str">
        <f t="shared" ref="AE82:AE83" si="100">IFERROR(IF(OR(AND(AA82="Muy Baja",AC82="Leve"),AND(AA82="Muy Baja",AC82="Menor"),AND(AA82="Baja",AC82="Leve")),"Bajo",IF(OR(AND(AA82="Muy baja",AC82="Moderado"),AND(AA82="Baja",AC82="Menor"),AND(AA82="Baja",AC82="Moderado"),AND(AA82="Media",AC82="Leve"),AND(AA82="Media",AC82="Menor"),AND(AA82="Media",AC82="Moderado"),AND(AA82="Alta",AC82="Leve"),AND(AA82="Alta",AC82="Menor")),"Moderado",IF(OR(AND(AA82="Muy Baja",AC82="Mayor"),AND(AA82="Baja",AC82="Mayor"),AND(AA82="Media",AC82="Mayor"),AND(AA82="Alta",AC82="Moderado"),AND(AA82="Alta",AC82="Mayor"),AND(AA82="Muy Alta",AC82="Leve"),AND(AA82="Muy Alta",AC82="Menor"),AND(AA82="Muy Alta",AC82="Moderado"),AND(AA82="Muy Alta",AC82="Mayor")),"Alto",IF(OR(AND(AA82="Muy Baja",AC82="Catastrófico"),AND(AA82="Baja",AC82="Catastrófico"),AND(AA82="Media",AC82="Catastrófico"),AND(AA82="Alta",AC82="Catastrófico"),AND(AA82="Muy Alta",AC82="Catastrófico")),"Extremo","")))),"")</f>
        <v/>
      </c>
      <c r="AF82" s="116"/>
      <c r="AG82" s="121"/>
      <c r="AH82" s="122"/>
      <c r="AI82" s="123"/>
      <c r="AJ82" s="123"/>
      <c r="AK82" s="121"/>
      <c r="AL82" s="122"/>
    </row>
    <row r="83" spans="1:38" x14ac:dyDescent="0.3">
      <c r="A83" s="209"/>
      <c r="B83" s="139"/>
      <c r="C83" s="139"/>
      <c r="D83" s="210"/>
      <c r="E83" s="200"/>
      <c r="F83" s="141"/>
      <c r="G83" s="210"/>
      <c r="H83" s="140"/>
      <c r="I83" s="211"/>
      <c r="J83" s="207"/>
      <c r="K83" s="206"/>
      <c r="L83" s="205"/>
      <c r="M83" s="206">
        <f t="shared" ca="1" si="95"/>
        <v>0</v>
      </c>
      <c r="N83" s="207"/>
      <c r="O83" s="206"/>
      <c r="P83" s="208"/>
      <c r="Q83" s="113">
        <v>3</v>
      </c>
      <c r="R83" s="126"/>
      <c r="S83" s="115" t="str">
        <f>IF(OR(T83="Preventivo",T83="Detectivo"),"Probabilidad",IF(T83="Correctivo","Impacto",""))</f>
        <v/>
      </c>
      <c r="T83" s="116"/>
      <c r="U83" s="116"/>
      <c r="V83" s="117" t="str">
        <f t="shared" si="96"/>
        <v/>
      </c>
      <c r="W83" s="116"/>
      <c r="X83" s="116"/>
      <c r="Y83" s="116"/>
      <c r="Z83" s="118" t="str">
        <f>IFERROR(IF(AND(S82="Probabilidad",S83="Probabilidad"),(AB82-(+AB82*V83)),IF(AND(S82="Impacto",S83="Probabilidad"),(AB81-(+AB81*V83)),IF(S83="Impacto",AB82,""))),"")</f>
        <v/>
      </c>
      <c r="AA83" s="119" t="str">
        <f t="shared" si="97"/>
        <v/>
      </c>
      <c r="AB83" s="117" t="str">
        <f t="shared" si="98"/>
        <v/>
      </c>
      <c r="AC83" s="119" t="str">
        <f t="shared" si="99"/>
        <v/>
      </c>
      <c r="AD83" s="117" t="str">
        <f>IFERROR(IF(AND(S82="Impacto",S83="Impacto"),(AD82-(+AD82*V83)),IF(AND(S82="Probabilidad",S83="Impacto"),(AD81-(+AD81*V83)),IF(S83="Probabilidad",AD82,""))),"")</f>
        <v/>
      </c>
      <c r="AE83" s="120" t="str">
        <f t="shared" si="100"/>
        <v/>
      </c>
      <c r="AF83" s="116"/>
      <c r="AG83" s="121"/>
      <c r="AH83" s="122"/>
      <c r="AI83" s="123"/>
      <c r="AJ83" s="123"/>
      <c r="AK83" s="121"/>
      <c r="AL83" s="122"/>
    </row>
    <row r="84" spans="1:38" x14ac:dyDescent="0.3">
      <c r="A84" s="209"/>
      <c r="B84" s="139"/>
      <c r="C84" s="139"/>
      <c r="D84" s="210"/>
      <c r="E84" s="200"/>
      <c r="F84" s="141"/>
      <c r="G84" s="210"/>
      <c r="H84" s="140"/>
      <c r="I84" s="211"/>
      <c r="J84" s="207"/>
      <c r="K84" s="206"/>
      <c r="L84" s="205"/>
      <c r="M84" s="206">
        <f t="shared" ca="1" si="95"/>
        <v>0</v>
      </c>
      <c r="N84" s="207"/>
      <c r="O84" s="206"/>
      <c r="P84" s="208"/>
      <c r="Q84" s="113">
        <v>4</v>
      </c>
      <c r="R84" s="114"/>
      <c r="S84" s="115" t="str">
        <f t="shared" ref="S84:S86" si="101">IF(OR(T84="Preventivo",T84="Detectivo"),"Probabilidad",IF(T84="Correctivo","Impacto",""))</f>
        <v/>
      </c>
      <c r="T84" s="116"/>
      <c r="U84" s="116"/>
      <c r="V84" s="117" t="str">
        <f t="shared" si="96"/>
        <v/>
      </c>
      <c r="W84" s="116"/>
      <c r="X84" s="116"/>
      <c r="Y84" s="116"/>
      <c r="Z84" s="118" t="str">
        <f t="shared" ref="Z84:Z86" si="102">IFERROR(IF(AND(S83="Probabilidad",S84="Probabilidad"),(AB83-(+AB83*V84)),IF(AND(S83="Impacto",S84="Probabilidad"),(AB82-(+AB82*V84)),IF(S84="Impacto",AB83,""))),"")</f>
        <v/>
      </c>
      <c r="AA84" s="119" t="str">
        <f t="shared" si="97"/>
        <v/>
      </c>
      <c r="AB84" s="117" t="str">
        <f t="shared" si="98"/>
        <v/>
      </c>
      <c r="AC84" s="119" t="str">
        <f t="shared" si="99"/>
        <v/>
      </c>
      <c r="AD84" s="117" t="str">
        <f t="shared" ref="AD84:AD86" si="103">IFERROR(IF(AND(S83="Impacto",S84="Impacto"),(AD83-(+AD83*V84)),IF(AND(S83="Probabilidad",S84="Impacto"),(AD82-(+AD82*V84)),IF(S84="Probabilidad",AD83,""))),"")</f>
        <v/>
      </c>
      <c r="AE84" s="120" t="str">
        <f>IFERROR(IF(OR(AND(AA84="Muy Baja",AC84="Leve"),AND(AA84="Muy Baja",AC84="Menor"),AND(AA84="Baja",AC84="Leve")),"Bajo",IF(OR(AND(AA84="Muy baja",AC84="Moderado"),AND(AA84="Baja",AC84="Menor"),AND(AA84="Baja",AC84="Moderado"),AND(AA84="Media",AC84="Leve"),AND(AA84="Media",AC84="Menor"),AND(AA84="Media",AC84="Moderado"),AND(AA84="Alta",AC84="Leve"),AND(AA84="Alta",AC84="Menor")),"Moderado",IF(OR(AND(AA84="Muy Baja",AC84="Mayor"),AND(AA84="Baja",AC84="Mayor"),AND(AA84="Media",AC84="Mayor"),AND(AA84="Alta",AC84="Moderado"),AND(AA84="Alta",AC84="Mayor"),AND(AA84="Muy Alta",AC84="Leve"),AND(AA84="Muy Alta",AC84="Menor"),AND(AA84="Muy Alta",AC84="Moderado"),AND(AA84="Muy Alta",AC84="Mayor")),"Alto",IF(OR(AND(AA84="Muy Baja",AC84="Catastrófico"),AND(AA84="Baja",AC84="Catastrófico"),AND(AA84="Media",AC84="Catastrófico"),AND(AA84="Alta",AC84="Catastrófico"),AND(AA84="Muy Alta",AC84="Catastrófico")),"Extremo","")))),"")</f>
        <v/>
      </c>
      <c r="AF84" s="116"/>
      <c r="AG84" s="121"/>
      <c r="AH84" s="122"/>
      <c r="AI84" s="123"/>
      <c r="AJ84" s="123"/>
      <c r="AK84" s="121"/>
      <c r="AL84" s="122"/>
    </row>
    <row r="85" spans="1:38" x14ac:dyDescent="0.3">
      <c r="A85" s="209"/>
      <c r="B85" s="139"/>
      <c r="C85" s="139"/>
      <c r="D85" s="210"/>
      <c r="E85" s="200"/>
      <c r="F85" s="141"/>
      <c r="G85" s="210"/>
      <c r="H85" s="140"/>
      <c r="I85" s="211"/>
      <c r="J85" s="207"/>
      <c r="K85" s="206"/>
      <c r="L85" s="205"/>
      <c r="M85" s="206">
        <f t="shared" ca="1" si="95"/>
        <v>0</v>
      </c>
      <c r="N85" s="207"/>
      <c r="O85" s="206"/>
      <c r="P85" s="208"/>
      <c r="Q85" s="113">
        <v>5</v>
      </c>
      <c r="R85" s="114"/>
      <c r="S85" s="115" t="str">
        <f t="shared" si="101"/>
        <v/>
      </c>
      <c r="T85" s="116"/>
      <c r="U85" s="116"/>
      <c r="V85" s="117" t="str">
        <f t="shared" si="96"/>
        <v/>
      </c>
      <c r="W85" s="116"/>
      <c r="X85" s="116"/>
      <c r="Y85" s="116"/>
      <c r="Z85" s="118" t="str">
        <f t="shared" si="102"/>
        <v/>
      </c>
      <c r="AA85" s="119" t="str">
        <f t="shared" si="97"/>
        <v/>
      </c>
      <c r="AB85" s="117" t="str">
        <f t="shared" si="98"/>
        <v/>
      </c>
      <c r="AC85" s="119" t="str">
        <f t="shared" si="99"/>
        <v/>
      </c>
      <c r="AD85" s="117" t="str">
        <f t="shared" si="103"/>
        <v/>
      </c>
      <c r="AE85" s="120" t="str">
        <f t="shared" ref="AE85:AE86" si="104">IFERROR(IF(OR(AND(AA85="Muy Baja",AC85="Leve"),AND(AA85="Muy Baja",AC85="Menor"),AND(AA85="Baja",AC85="Leve")),"Bajo",IF(OR(AND(AA85="Muy baja",AC85="Moderado"),AND(AA85="Baja",AC85="Menor"),AND(AA85="Baja",AC85="Moderado"),AND(AA85="Media",AC85="Leve"),AND(AA85="Media",AC85="Menor"),AND(AA85="Media",AC85="Moderado"),AND(AA85="Alta",AC85="Leve"),AND(AA85="Alta",AC85="Menor")),"Moderado",IF(OR(AND(AA85="Muy Baja",AC85="Mayor"),AND(AA85="Baja",AC85="Mayor"),AND(AA85="Media",AC85="Mayor"),AND(AA85="Alta",AC85="Moderado"),AND(AA85="Alta",AC85="Mayor"),AND(AA85="Muy Alta",AC85="Leve"),AND(AA85="Muy Alta",AC85="Menor"),AND(AA85="Muy Alta",AC85="Moderado"),AND(AA85="Muy Alta",AC85="Mayor")),"Alto",IF(OR(AND(AA85="Muy Baja",AC85="Catastrófico"),AND(AA85="Baja",AC85="Catastrófico"),AND(AA85="Media",AC85="Catastrófico"),AND(AA85="Alta",AC85="Catastrófico"),AND(AA85="Muy Alta",AC85="Catastrófico")),"Extremo","")))),"")</f>
        <v/>
      </c>
      <c r="AF85" s="116"/>
      <c r="AG85" s="121"/>
      <c r="AH85" s="122"/>
      <c r="AI85" s="123"/>
      <c r="AJ85" s="123"/>
      <c r="AK85" s="121"/>
      <c r="AL85" s="122"/>
    </row>
    <row r="86" spans="1:38" x14ac:dyDescent="0.3">
      <c r="A86" s="209"/>
      <c r="B86" s="139"/>
      <c r="C86" s="139"/>
      <c r="D86" s="210"/>
      <c r="E86" s="200"/>
      <c r="F86" s="141"/>
      <c r="G86" s="210"/>
      <c r="H86" s="140"/>
      <c r="I86" s="211"/>
      <c r="J86" s="207"/>
      <c r="K86" s="206"/>
      <c r="L86" s="205"/>
      <c r="M86" s="206">
        <f t="shared" ca="1" si="95"/>
        <v>0</v>
      </c>
      <c r="N86" s="207"/>
      <c r="O86" s="206"/>
      <c r="P86" s="208"/>
      <c r="Q86" s="113">
        <v>6</v>
      </c>
      <c r="R86" s="114"/>
      <c r="S86" s="115" t="str">
        <f t="shared" si="101"/>
        <v/>
      </c>
      <c r="T86" s="116"/>
      <c r="U86" s="116"/>
      <c r="V86" s="117" t="str">
        <f t="shared" si="96"/>
        <v/>
      </c>
      <c r="W86" s="116"/>
      <c r="X86" s="116"/>
      <c r="Y86" s="116"/>
      <c r="Z86" s="118" t="str">
        <f t="shared" si="102"/>
        <v/>
      </c>
      <c r="AA86" s="119" t="str">
        <f t="shared" si="97"/>
        <v/>
      </c>
      <c r="AB86" s="117" t="str">
        <f t="shared" si="98"/>
        <v/>
      </c>
      <c r="AC86" s="119" t="str">
        <f t="shared" si="99"/>
        <v/>
      </c>
      <c r="AD86" s="117" t="str">
        <f t="shared" si="103"/>
        <v/>
      </c>
      <c r="AE86" s="120" t="str">
        <f t="shared" si="104"/>
        <v/>
      </c>
      <c r="AF86" s="116"/>
      <c r="AG86" s="121"/>
      <c r="AH86" s="122"/>
      <c r="AI86" s="123"/>
      <c r="AJ86" s="123"/>
      <c r="AK86" s="121"/>
      <c r="AL86" s="122"/>
    </row>
    <row r="87" spans="1:38" x14ac:dyDescent="0.3">
      <c r="A87" s="209">
        <v>4</v>
      </c>
      <c r="B87" s="139"/>
      <c r="C87" s="139"/>
      <c r="D87" s="210"/>
      <c r="E87" s="200"/>
      <c r="F87" s="141"/>
      <c r="G87" s="210"/>
      <c r="H87" s="140"/>
      <c r="I87" s="211"/>
      <c r="J87" s="207" t="str">
        <f>IF(I87&lt;=0,"",IF(I87&lt;=2,"Muy Baja",IF(I87&lt;=24,"Baja",IF(I87&lt;=500,"Media",IF(I87&lt;=5000,"Alta","Muy Alta")))))</f>
        <v/>
      </c>
      <c r="K87" s="206" t="str">
        <f>IF(J87="","",IF(J87="Muy Baja",0.2,IF(J87="Baja",0.4,IF(J87="Media",0.6,IF(J87="Alta",0.8,IF(J87="Muy Alta",1,))))))</f>
        <v/>
      </c>
      <c r="L87" s="205"/>
      <c r="M87" s="206">
        <f ca="1">IF(NOT(ISERROR(MATCH(L87,'Tabla Impacto'!$B$221:$B$223,0))),'Tabla Impacto'!$F$223&amp;"Por favor no seleccionar los criterios de impacto(Afectación Económica o presupuestal y Pérdida Reputacional)",L87)</f>
        <v>0</v>
      </c>
      <c r="N87" s="207" t="str">
        <f ca="1">IF(OR(M87='Tabla Impacto'!$C$11,M87='Tabla Impacto'!$D$11),"Leve",IF(OR(M87='Tabla Impacto'!$C$12,M87='Tabla Impacto'!$D$12),"Menor",IF(OR(M87='Tabla Impacto'!$C$13,M87='Tabla Impacto'!$D$13),"Moderado",IF(OR(M87='Tabla Impacto'!$C$14,M87='Tabla Impacto'!$D$14),"Mayor",IF(OR(M87='Tabla Impacto'!$C$15,M87='Tabla Impacto'!$D$15),"Catastrófico","")))))</f>
        <v/>
      </c>
      <c r="O87" s="206" t="str">
        <f ca="1">IF(N87="","",IF(N87="Leve",0.2,IF(N87="Menor",0.4,IF(N87="Moderado",0.6,IF(N87="Mayor",0.8,IF(N87="Catastrófico",1,))))))</f>
        <v/>
      </c>
      <c r="P87" s="208" t="str">
        <f ca="1">IF(OR(AND(J87="Muy Baja",N87="Leve"),AND(J87="Muy Baja",N87="Menor"),AND(J87="Baja",N87="Leve")),"Bajo",IF(OR(AND(J87="Muy baja",N87="Moderado"),AND(J87="Baja",N87="Menor"),AND(J87="Baja",N87="Moderado"),AND(J87="Media",N87="Leve"),AND(J87="Media",N87="Menor"),AND(J87="Media",N87="Moderado"),AND(J87="Alta",N87="Leve"),AND(J87="Alta",N87="Menor")),"Moderado",IF(OR(AND(J87="Muy Baja",N87="Mayor"),AND(J87="Baja",N87="Mayor"),AND(J87="Media",N87="Mayor"),AND(J87="Alta",N87="Moderado"),AND(J87="Alta",N87="Mayor"),AND(J87="Muy Alta",N87="Leve"),AND(J87="Muy Alta",N87="Menor"),AND(J87="Muy Alta",N87="Moderado"),AND(J87="Muy Alta",N87="Mayor")),"Alto",IF(OR(AND(J87="Muy Baja",N87="Catastrófico"),AND(J87="Baja",N87="Catastrófico"),AND(J87="Media",N87="Catastrófico"),AND(J87="Alta",N87="Catastrófico"),AND(J87="Muy Alta",N87="Catastrófico")),"Extremo",""))))</f>
        <v/>
      </c>
      <c r="Q87" s="113">
        <v>1</v>
      </c>
      <c r="R87" s="114"/>
      <c r="S87" s="115" t="str">
        <f>IF(OR(T87="Preventivo",T87="Detectivo"),"Probabilidad",IF(T87="Correctivo","Impacto",""))</f>
        <v/>
      </c>
      <c r="T87" s="116"/>
      <c r="U87" s="116"/>
      <c r="V87" s="117" t="str">
        <f>IF(AND(T87="Preventivo",U87="Automático"),"50%",IF(AND(T87="Preventivo",U87="Manual"),"40%",IF(AND(T87="Detectivo",U87="Automático"),"40%",IF(AND(T87="Detectivo",U87="Manual"),"30%",IF(AND(T87="Correctivo",U87="Automático"),"35%",IF(AND(T87="Correctivo",U87="Manual"),"25%",""))))))</f>
        <v/>
      </c>
      <c r="W87" s="116"/>
      <c r="X87" s="116"/>
      <c r="Y87" s="116"/>
      <c r="Z87" s="118" t="str">
        <f>IFERROR(IF(S87="Probabilidad",(K87-(+K87*V87)),IF(S87="Impacto",K87,"")),"")</f>
        <v/>
      </c>
      <c r="AA87" s="119" t="str">
        <f>IFERROR(IF(Z87="","",IF(Z87&lt;=0.2,"Muy Baja",IF(Z87&lt;=0.4,"Baja",IF(Z87&lt;=0.6,"Media",IF(Z87&lt;=0.8,"Alta","Muy Alta"))))),"")</f>
        <v/>
      </c>
      <c r="AB87" s="117" t="str">
        <f>+Z87</f>
        <v/>
      </c>
      <c r="AC87" s="119" t="str">
        <f>IFERROR(IF(AD87="","",IF(AD87&lt;=0.2,"Leve",IF(AD87&lt;=0.4,"Menor",IF(AD87&lt;=0.6,"Moderado",IF(AD87&lt;=0.8,"Mayor","Catastrófico"))))),"")</f>
        <v/>
      </c>
      <c r="AD87" s="117" t="str">
        <f>IFERROR(IF(S87="Impacto",(O87-(+O87*V87)),IF(S87="Probabilidad",O87,"")),"")</f>
        <v/>
      </c>
      <c r="AE87" s="120" t="str">
        <f>IFERROR(IF(OR(AND(AA87="Muy Baja",AC87="Leve"),AND(AA87="Muy Baja",AC87="Menor"),AND(AA87="Baja",AC87="Leve")),"Bajo",IF(OR(AND(AA87="Muy baja",AC87="Moderado"),AND(AA87="Baja",AC87="Menor"),AND(AA87="Baja",AC87="Moderado"),AND(AA87="Media",AC87="Leve"),AND(AA87="Media",AC87="Menor"),AND(AA87="Media",AC87="Moderado"),AND(AA87="Alta",AC87="Leve"),AND(AA87="Alta",AC87="Menor")),"Moderado",IF(OR(AND(AA87="Muy Baja",AC87="Mayor"),AND(AA87="Baja",AC87="Mayor"),AND(AA87="Media",AC87="Mayor"),AND(AA87="Alta",AC87="Moderado"),AND(AA87="Alta",AC87="Mayor"),AND(AA87="Muy Alta",AC87="Leve"),AND(AA87="Muy Alta",AC87="Menor"),AND(AA87="Muy Alta",AC87="Moderado"),AND(AA87="Muy Alta",AC87="Mayor")),"Alto",IF(OR(AND(AA87="Muy Baja",AC87="Catastrófico"),AND(AA87="Baja",AC87="Catastrófico"),AND(AA87="Media",AC87="Catastrófico"),AND(AA87="Alta",AC87="Catastrófico"),AND(AA87="Muy Alta",AC87="Catastrófico")),"Extremo","")))),"")</f>
        <v/>
      </c>
      <c r="AF87" s="116"/>
      <c r="AG87" s="121"/>
      <c r="AH87" s="122"/>
      <c r="AI87" s="123"/>
      <c r="AJ87" s="123"/>
      <c r="AK87" s="121"/>
      <c r="AL87" s="122"/>
    </row>
    <row r="88" spans="1:38" x14ac:dyDescent="0.3">
      <c r="A88" s="209"/>
      <c r="B88" s="139"/>
      <c r="C88" s="139"/>
      <c r="D88" s="210"/>
      <c r="E88" s="200"/>
      <c r="F88" s="141"/>
      <c r="G88" s="210"/>
      <c r="H88" s="140"/>
      <c r="I88" s="211"/>
      <c r="J88" s="207"/>
      <c r="K88" s="206"/>
      <c r="L88" s="205"/>
      <c r="M88" s="206">
        <f t="shared" ref="M88:M92" ca="1" si="105">IF(NOT(ISERROR(MATCH(L88,_xlfn.ANCHORARRAY(E99),0))),K101&amp;"Por favor no seleccionar los criterios de impacto",L88)</f>
        <v>0</v>
      </c>
      <c r="N88" s="207"/>
      <c r="O88" s="206"/>
      <c r="P88" s="208"/>
      <c r="Q88" s="113">
        <v>2</v>
      </c>
      <c r="R88" s="114"/>
      <c r="S88" s="115" t="str">
        <f>IF(OR(T88="Preventivo",T88="Detectivo"),"Probabilidad",IF(T88="Correctivo","Impacto",""))</f>
        <v/>
      </c>
      <c r="T88" s="116"/>
      <c r="U88" s="116"/>
      <c r="V88" s="117" t="str">
        <f t="shared" ref="V88:V92" si="106">IF(AND(T88="Preventivo",U88="Automático"),"50%",IF(AND(T88="Preventivo",U88="Manual"),"40%",IF(AND(T88="Detectivo",U88="Automático"),"40%",IF(AND(T88="Detectivo",U88="Manual"),"30%",IF(AND(T88="Correctivo",U88="Automático"),"35%",IF(AND(T88="Correctivo",U88="Manual"),"25%",""))))))</f>
        <v/>
      </c>
      <c r="W88" s="116"/>
      <c r="X88" s="116"/>
      <c r="Y88" s="116"/>
      <c r="Z88" s="118" t="str">
        <f>IFERROR(IF(AND(S87="Probabilidad",S88="Probabilidad"),(AB87-(+AB87*V88)),IF(S88="Probabilidad",(K87-(+K87*V88)),IF(S88="Impacto",AB87,""))),"")</f>
        <v/>
      </c>
      <c r="AA88" s="119" t="str">
        <f t="shared" ref="AA88:AA90" si="107">IFERROR(IF(Z88="","",IF(Z88&lt;=0.2,"Muy Baja",IF(Z88&lt;=0.4,"Baja",IF(Z88&lt;=0.6,"Media",IF(Z88&lt;=0.8,"Alta","Muy Alta"))))),"")</f>
        <v/>
      </c>
      <c r="AB88" s="117" t="str">
        <f t="shared" ref="AB88:AB92" si="108">+Z88</f>
        <v/>
      </c>
      <c r="AC88" s="119" t="str">
        <f t="shared" ref="AC88:AC92" si="109">IFERROR(IF(AD88="","",IF(AD88&lt;=0.2,"Leve",IF(AD88&lt;=0.4,"Menor",IF(AD88&lt;=0.6,"Moderado",IF(AD88&lt;=0.8,"Mayor","Catastrófico"))))),"")</f>
        <v/>
      </c>
      <c r="AD88" s="117" t="str">
        <f>IFERROR(IF(AND(S87="Impacto",S88="Impacto"),(AD81-(+AD81*V88)),IF(S88="Impacto",($O$27-(+$O$27*V88)),IF(S88="Probabilidad",AD81,""))),"")</f>
        <v/>
      </c>
      <c r="AE88" s="120" t="str">
        <f t="shared" ref="AE88:AE89" si="110">IFERROR(IF(OR(AND(AA88="Muy Baja",AC88="Leve"),AND(AA88="Muy Baja",AC88="Menor"),AND(AA88="Baja",AC88="Leve")),"Bajo",IF(OR(AND(AA88="Muy baja",AC88="Moderado"),AND(AA88="Baja",AC88="Menor"),AND(AA88="Baja",AC88="Moderado"),AND(AA88="Media",AC88="Leve"),AND(AA88="Media",AC88="Menor"),AND(AA88="Media",AC88="Moderado"),AND(AA88="Alta",AC88="Leve"),AND(AA88="Alta",AC88="Menor")),"Moderado",IF(OR(AND(AA88="Muy Baja",AC88="Mayor"),AND(AA88="Baja",AC88="Mayor"),AND(AA88="Media",AC88="Mayor"),AND(AA88="Alta",AC88="Moderado"),AND(AA88="Alta",AC88="Mayor"),AND(AA88="Muy Alta",AC88="Leve"),AND(AA88="Muy Alta",AC88="Menor"),AND(AA88="Muy Alta",AC88="Moderado"),AND(AA88="Muy Alta",AC88="Mayor")),"Alto",IF(OR(AND(AA88="Muy Baja",AC88="Catastrófico"),AND(AA88="Baja",AC88="Catastrófico"),AND(AA88="Media",AC88="Catastrófico"),AND(AA88="Alta",AC88="Catastrófico"),AND(AA88="Muy Alta",AC88="Catastrófico")),"Extremo","")))),"")</f>
        <v/>
      </c>
      <c r="AF88" s="116"/>
      <c r="AG88" s="121"/>
      <c r="AH88" s="122"/>
      <c r="AI88" s="123"/>
      <c r="AJ88" s="123"/>
      <c r="AK88" s="121"/>
      <c r="AL88" s="122"/>
    </row>
    <row r="89" spans="1:38" x14ac:dyDescent="0.3">
      <c r="A89" s="209"/>
      <c r="B89" s="139"/>
      <c r="C89" s="139"/>
      <c r="D89" s="210"/>
      <c r="E89" s="200"/>
      <c r="F89" s="141"/>
      <c r="G89" s="210"/>
      <c r="H89" s="140"/>
      <c r="I89" s="211"/>
      <c r="J89" s="207"/>
      <c r="K89" s="206"/>
      <c r="L89" s="205"/>
      <c r="M89" s="206">
        <f t="shared" ca="1" si="105"/>
        <v>0</v>
      </c>
      <c r="N89" s="207"/>
      <c r="O89" s="206"/>
      <c r="P89" s="208"/>
      <c r="Q89" s="113">
        <v>3</v>
      </c>
      <c r="R89" s="126"/>
      <c r="S89" s="115" t="str">
        <f>IF(OR(T89="Preventivo",T89="Detectivo"),"Probabilidad",IF(T89="Correctivo","Impacto",""))</f>
        <v/>
      </c>
      <c r="T89" s="116"/>
      <c r="U89" s="116"/>
      <c r="V89" s="117" t="str">
        <f t="shared" si="106"/>
        <v/>
      </c>
      <c r="W89" s="116"/>
      <c r="X89" s="116"/>
      <c r="Y89" s="116"/>
      <c r="Z89" s="118" t="str">
        <f>IFERROR(IF(AND(S88="Probabilidad",S89="Probabilidad"),(AB88-(+AB88*V89)),IF(AND(S88="Impacto",S89="Probabilidad"),(AB87-(+AB87*V89)),IF(S89="Impacto",AB88,""))),"")</f>
        <v/>
      </c>
      <c r="AA89" s="119" t="str">
        <f t="shared" si="107"/>
        <v/>
      </c>
      <c r="AB89" s="117" t="str">
        <f t="shared" si="108"/>
        <v/>
      </c>
      <c r="AC89" s="119" t="str">
        <f t="shared" si="109"/>
        <v/>
      </c>
      <c r="AD89" s="117" t="str">
        <f>IFERROR(IF(AND(S88="Impacto",S89="Impacto"),(AD88-(+AD88*V89)),IF(AND(S88="Probabilidad",S89="Impacto"),(AD87-(+AD87*V89)),IF(S89="Probabilidad",AD88,""))),"")</f>
        <v/>
      </c>
      <c r="AE89" s="120" t="str">
        <f t="shared" si="110"/>
        <v/>
      </c>
      <c r="AF89" s="116"/>
      <c r="AG89" s="121"/>
      <c r="AH89" s="122"/>
      <c r="AI89" s="123"/>
      <c r="AJ89" s="123"/>
      <c r="AK89" s="121"/>
      <c r="AL89" s="122"/>
    </row>
    <row r="90" spans="1:38" x14ac:dyDescent="0.3">
      <c r="A90" s="209"/>
      <c r="B90" s="139"/>
      <c r="C90" s="139"/>
      <c r="D90" s="210"/>
      <c r="E90" s="200"/>
      <c r="F90" s="141"/>
      <c r="G90" s="210"/>
      <c r="H90" s="140"/>
      <c r="I90" s="211"/>
      <c r="J90" s="207"/>
      <c r="K90" s="206"/>
      <c r="L90" s="205"/>
      <c r="M90" s="206">
        <f t="shared" ca="1" si="105"/>
        <v>0</v>
      </c>
      <c r="N90" s="207"/>
      <c r="O90" s="206"/>
      <c r="P90" s="208"/>
      <c r="Q90" s="113">
        <v>4</v>
      </c>
      <c r="R90" s="114"/>
      <c r="S90" s="115" t="str">
        <f t="shared" ref="S90:S92" si="111">IF(OR(T90="Preventivo",T90="Detectivo"),"Probabilidad",IF(T90="Correctivo","Impacto",""))</f>
        <v/>
      </c>
      <c r="T90" s="116"/>
      <c r="U90" s="116"/>
      <c r="V90" s="117" t="str">
        <f t="shared" si="106"/>
        <v/>
      </c>
      <c r="W90" s="116"/>
      <c r="X90" s="116"/>
      <c r="Y90" s="116"/>
      <c r="Z90" s="118" t="str">
        <f t="shared" ref="Z90:Z92" si="112">IFERROR(IF(AND(S89="Probabilidad",S90="Probabilidad"),(AB89-(+AB89*V90)),IF(AND(S89="Impacto",S90="Probabilidad"),(AB88-(+AB88*V90)),IF(S90="Impacto",AB89,""))),"")</f>
        <v/>
      </c>
      <c r="AA90" s="119" t="str">
        <f t="shared" si="107"/>
        <v/>
      </c>
      <c r="AB90" s="117" t="str">
        <f t="shared" si="108"/>
        <v/>
      </c>
      <c r="AC90" s="119" t="str">
        <f t="shared" si="109"/>
        <v/>
      </c>
      <c r="AD90" s="117" t="str">
        <f t="shared" ref="AD90:AD92" si="113">IFERROR(IF(AND(S89="Impacto",S90="Impacto"),(AD89-(+AD89*V90)),IF(AND(S89="Probabilidad",S90="Impacto"),(AD88-(+AD88*V90)),IF(S90="Probabilidad",AD89,""))),"")</f>
        <v/>
      </c>
      <c r="AE90" s="120" t="str">
        <f>IFERROR(IF(OR(AND(AA90="Muy Baja",AC90="Leve"),AND(AA90="Muy Baja",AC90="Menor"),AND(AA90="Baja",AC90="Leve")),"Bajo",IF(OR(AND(AA90="Muy baja",AC90="Moderado"),AND(AA90="Baja",AC90="Menor"),AND(AA90="Baja",AC90="Moderado"),AND(AA90="Media",AC90="Leve"),AND(AA90="Media",AC90="Menor"),AND(AA90="Media",AC90="Moderado"),AND(AA90="Alta",AC90="Leve"),AND(AA90="Alta",AC90="Menor")),"Moderado",IF(OR(AND(AA90="Muy Baja",AC90="Mayor"),AND(AA90="Baja",AC90="Mayor"),AND(AA90="Media",AC90="Mayor"),AND(AA90="Alta",AC90="Moderado"),AND(AA90="Alta",AC90="Mayor"),AND(AA90="Muy Alta",AC90="Leve"),AND(AA90="Muy Alta",AC90="Menor"),AND(AA90="Muy Alta",AC90="Moderado"),AND(AA90="Muy Alta",AC90="Mayor")),"Alto",IF(OR(AND(AA90="Muy Baja",AC90="Catastrófico"),AND(AA90="Baja",AC90="Catastrófico"),AND(AA90="Media",AC90="Catastrófico"),AND(AA90="Alta",AC90="Catastrófico"),AND(AA90="Muy Alta",AC90="Catastrófico")),"Extremo","")))),"")</f>
        <v/>
      </c>
      <c r="AF90" s="116"/>
      <c r="AG90" s="121"/>
      <c r="AH90" s="122"/>
      <c r="AI90" s="123"/>
      <c r="AJ90" s="123"/>
      <c r="AK90" s="121"/>
      <c r="AL90" s="122"/>
    </row>
    <row r="91" spans="1:38" x14ac:dyDescent="0.3">
      <c r="A91" s="209"/>
      <c r="B91" s="139"/>
      <c r="C91" s="139"/>
      <c r="D91" s="210"/>
      <c r="E91" s="200"/>
      <c r="F91" s="141"/>
      <c r="G91" s="210"/>
      <c r="H91" s="140"/>
      <c r="I91" s="211"/>
      <c r="J91" s="207"/>
      <c r="K91" s="206"/>
      <c r="L91" s="205"/>
      <c r="M91" s="206">
        <f t="shared" ca="1" si="105"/>
        <v>0</v>
      </c>
      <c r="N91" s="207"/>
      <c r="O91" s="206"/>
      <c r="P91" s="208"/>
      <c r="Q91" s="113">
        <v>5</v>
      </c>
      <c r="R91" s="114"/>
      <c r="S91" s="115" t="str">
        <f t="shared" si="111"/>
        <v/>
      </c>
      <c r="T91" s="116"/>
      <c r="U91" s="116"/>
      <c r="V91" s="117" t="str">
        <f t="shared" si="106"/>
        <v/>
      </c>
      <c r="W91" s="116"/>
      <c r="X91" s="116"/>
      <c r="Y91" s="116"/>
      <c r="Z91" s="127" t="str">
        <f t="shared" si="112"/>
        <v/>
      </c>
      <c r="AA91" s="119" t="str">
        <f>IFERROR(IF(Z91="","",IF(Z91&lt;=0.2,"Muy Baja",IF(Z91&lt;=0.4,"Baja",IF(Z91&lt;=0.6,"Media",IF(Z91&lt;=0.8,"Alta","Muy Alta"))))),"")</f>
        <v/>
      </c>
      <c r="AB91" s="117" t="str">
        <f t="shared" si="108"/>
        <v/>
      </c>
      <c r="AC91" s="119" t="str">
        <f t="shared" si="109"/>
        <v/>
      </c>
      <c r="AD91" s="117" t="str">
        <f t="shared" si="113"/>
        <v/>
      </c>
      <c r="AE91" s="120" t="str">
        <f t="shared" ref="AE91:AE92" si="114">IFERROR(IF(OR(AND(AA91="Muy Baja",AC91="Leve"),AND(AA91="Muy Baja",AC91="Menor"),AND(AA91="Baja",AC91="Leve")),"Bajo",IF(OR(AND(AA91="Muy baja",AC91="Moderado"),AND(AA91="Baja",AC91="Menor"),AND(AA91="Baja",AC91="Moderado"),AND(AA91="Media",AC91="Leve"),AND(AA91="Media",AC91="Menor"),AND(AA91="Media",AC91="Moderado"),AND(AA91="Alta",AC91="Leve"),AND(AA91="Alta",AC91="Menor")),"Moderado",IF(OR(AND(AA91="Muy Baja",AC91="Mayor"),AND(AA91="Baja",AC91="Mayor"),AND(AA91="Media",AC91="Mayor"),AND(AA91="Alta",AC91="Moderado"),AND(AA91="Alta",AC91="Mayor"),AND(AA91="Muy Alta",AC91="Leve"),AND(AA91="Muy Alta",AC91="Menor"),AND(AA91="Muy Alta",AC91="Moderado"),AND(AA91="Muy Alta",AC91="Mayor")),"Alto",IF(OR(AND(AA91="Muy Baja",AC91="Catastrófico"),AND(AA91="Baja",AC91="Catastrófico"),AND(AA91="Media",AC91="Catastrófico"),AND(AA91="Alta",AC91="Catastrófico"),AND(AA91="Muy Alta",AC91="Catastrófico")),"Extremo","")))),"")</f>
        <v/>
      </c>
      <c r="AF91" s="116"/>
      <c r="AG91" s="121"/>
      <c r="AH91" s="122"/>
      <c r="AI91" s="123"/>
      <c r="AJ91" s="123"/>
      <c r="AK91" s="121"/>
      <c r="AL91" s="122"/>
    </row>
    <row r="92" spans="1:38" x14ac:dyDescent="0.3">
      <c r="A92" s="209"/>
      <c r="B92" s="139"/>
      <c r="C92" s="139"/>
      <c r="D92" s="210"/>
      <c r="E92" s="200"/>
      <c r="F92" s="141"/>
      <c r="G92" s="210"/>
      <c r="H92" s="140"/>
      <c r="I92" s="211"/>
      <c r="J92" s="207"/>
      <c r="K92" s="206"/>
      <c r="L92" s="205"/>
      <c r="M92" s="206">
        <f t="shared" ca="1" si="105"/>
        <v>0</v>
      </c>
      <c r="N92" s="207"/>
      <c r="O92" s="206"/>
      <c r="P92" s="208"/>
      <c r="Q92" s="113">
        <v>6</v>
      </c>
      <c r="R92" s="114"/>
      <c r="S92" s="115" t="str">
        <f t="shared" si="111"/>
        <v/>
      </c>
      <c r="T92" s="116"/>
      <c r="U92" s="116"/>
      <c r="V92" s="117" t="str">
        <f t="shared" si="106"/>
        <v/>
      </c>
      <c r="W92" s="116"/>
      <c r="X92" s="116"/>
      <c r="Y92" s="116"/>
      <c r="Z92" s="118" t="str">
        <f t="shared" si="112"/>
        <v/>
      </c>
      <c r="AA92" s="119" t="str">
        <f t="shared" ref="AA92" si="115">IFERROR(IF(Z92="","",IF(Z92&lt;=0.2,"Muy Baja",IF(Z92&lt;=0.4,"Baja",IF(Z92&lt;=0.6,"Media",IF(Z92&lt;=0.8,"Alta","Muy Alta"))))),"")</f>
        <v/>
      </c>
      <c r="AB92" s="117" t="str">
        <f t="shared" si="108"/>
        <v/>
      </c>
      <c r="AC92" s="119" t="str">
        <f t="shared" si="109"/>
        <v/>
      </c>
      <c r="AD92" s="117" t="str">
        <f t="shared" si="113"/>
        <v/>
      </c>
      <c r="AE92" s="120" t="str">
        <f t="shared" si="114"/>
        <v/>
      </c>
      <c r="AF92" s="116"/>
      <c r="AG92" s="121"/>
      <c r="AH92" s="122"/>
      <c r="AI92" s="123"/>
      <c r="AJ92" s="123"/>
      <c r="AK92" s="121"/>
      <c r="AL92" s="122"/>
    </row>
    <row r="93" spans="1:38" x14ac:dyDescent="0.3">
      <c r="A93" s="209">
        <v>5</v>
      </c>
      <c r="B93" s="139"/>
      <c r="C93" s="139"/>
      <c r="D93" s="210"/>
      <c r="E93" s="200"/>
      <c r="F93" s="141"/>
      <c r="G93" s="210"/>
      <c r="H93" s="140"/>
      <c r="I93" s="211"/>
      <c r="J93" s="207" t="str">
        <f>IF(I93&lt;=0,"",IF(I93&lt;=2,"Muy Baja",IF(I93&lt;=24,"Baja",IF(I93&lt;=500,"Media",IF(I93&lt;=5000,"Alta","Muy Alta")))))</f>
        <v/>
      </c>
      <c r="K93" s="206" t="str">
        <f>IF(J93="","",IF(J93="Muy Baja",0.2,IF(J93="Baja",0.4,IF(J93="Media",0.6,IF(J93="Alta",0.8,IF(J93="Muy Alta",1,))))))</f>
        <v/>
      </c>
      <c r="L93" s="205"/>
      <c r="M93" s="206">
        <f ca="1">IF(NOT(ISERROR(MATCH(L93,'Tabla Impacto'!$B$221:$B$223,0))),'Tabla Impacto'!$F$223&amp;"Por favor no seleccionar los criterios de impacto(Afectación Económica o presupuestal y Pérdida Reputacional)",L93)</f>
        <v>0</v>
      </c>
      <c r="N93" s="207" t="str">
        <f ca="1">IF(OR(M93='Tabla Impacto'!$C$11,M93='Tabla Impacto'!$D$11),"Leve",IF(OR(M93='Tabla Impacto'!$C$12,M93='Tabla Impacto'!$D$12),"Menor",IF(OR(M93='Tabla Impacto'!$C$13,M93='Tabla Impacto'!$D$13),"Moderado",IF(OR(M93='Tabla Impacto'!$C$14,M93='Tabla Impacto'!$D$14),"Mayor",IF(OR(M93='Tabla Impacto'!$C$15,M93='Tabla Impacto'!$D$15),"Catastrófico","")))))</f>
        <v/>
      </c>
      <c r="O93" s="206" t="str">
        <f ca="1">IF(N93="","",IF(N93="Leve",0.2,IF(N93="Menor",0.4,IF(N93="Moderado",0.6,IF(N93="Mayor",0.8,IF(N93="Catastrófico",1,))))))</f>
        <v/>
      </c>
      <c r="P93" s="208" t="str">
        <f ca="1">IF(OR(AND(J93="Muy Baja",N93="Leve"),AND(J93="Muy Baja",N93="Menor"),AND(J93="Baja",N93="Leve")),"Bajo",IF(OR(AND(J93="Muy baja",N93="Moderado"),AND(J93="Baja",N93="Menor"),AND(J93="Baja",N93="Moderado"),AND(J93="Media",N93="Leve"),AND(J93="Media",N93="Menor"),AND(J93="Media",N93="Moderado"),AND(J93="Alta",N93="Leve"),AND(J93="Alta",N93="Menor")),"Moderado",IF(OR(AND(J93="Muy Baja",N93="Mayor"),AND(J93="Baja",N93="Mayor"),AND(J93="Media",N93="Mayor"),AND(J93="Alta",N93="Moderado"),AND(J93="Alta",N93="Mayor"),AND(J93="Muy Alta",N93="Leve"),AND(J93="Muy Alta",N93="Menor"),AND(J93="Muy Alta",N93="Moderado"),AND(J93="Muy Alta",N93="Mayor")),"Alto",IF(OR(AND(J93="Muy Baja",N93="Catastrófico"),AND(J93="Baja",N93="Catastrófico"),AND(J93="Media",N93="Catastrófico"),AND(J93="Alta",N93="Catastrófico"),AND(J93="Muy Alta",N93="Catastrófico")),"Extremo",""))))</f>
        <v/>
      </c>
      <c r="Q93" s="113">
        <v>1</v>
      </c>
      <c r="R93" s="114"/>
      <c r="S93" s="115" t="str">
        <f>IF(OR(T93="Preventivo",T93="Detectivo"),"Probabilidad",IF(T93="Correctivo","Impacto",""))</f>
        <v/>
      </c>
      <c r="T93" s="116"/>
      <c r="U93" s="116"/>
      <c r="V93" s="117" t="str">
        <f>IF(AND(T93="Preventivo",U93="Automático"),"50%",IF(AND(T93="Preventivo",U93="Manual"),"40%",IF(AND(T93="Detectivo",U93="Automático"),"40%",IF(AND(T93="Detectivo",U93="Manual"),"30%",IF(AND(T93="Correctivo",U93="Automático"),"35%",IF(AND(T93="Correctivo",U93="Manual"),"25%",""))))))</f>
        <v/>
      </c>
      <c r="W93" s="116"/>
      <c r="X93" s="116"/>
      <c r="Y93" s="116"/>
      <c r="Z93" s="118" t="str">
        <f>IFERROR(IF(S93="Probabilidad",(K93-(+K93*V93)),IF(S93="Impacto",K93,"")),"")</f>
        <v/>
      </c>
      <c r="AA93" s="119" t="str">
        <f>IFERROR(IF(Z93="","",IF(Z93&lt;=0.2,"Muy Baja",IF(Z93&lt;=0.4,"Baja",IF(Z93&lt;=0.6,"Media",IF(Z93&lt;=0.8,"Alta","Muy Alta"))))),"")</f>
        <v/>
      </c>
      <c r="AB93" s="117" t="str">
        <f>+Z93</f>
        <v/>
      </c>
      <c r="AC93" s="119" t="str">
        <f>IFERROR(IF(AD93="","",IF(AD93&lt;=0.2,"Leve",IF(AD93&lt;=0.4,"Menor",IF(AD93&lt;=0.6,"Moderado",IF(AD93&lt;=0.8,"Mayor","Catastrófico"))))),"")</f>
        <v/>
      </c>
      <c r="AD93" s="117" t="str">
        <f>IFERROR(IF(S93="Impacto",(O93-(+O93*V93)),IF(S93="Probabilidad",O93,"")),"")</f>
        <v/>
      </c>
      <c r="AE93" s="120" t="str">
        <f>IFERROR(IF(OR(AND(AA93="Muy Baja",AC93="Leve"),AND(AA93="Muy Baja",AC93="Menor"),AND(AA93="Baja",AC93="Leve")),"Bajo",IF(OR(AND(AA93="Muy baja",AC93="Moderado"),AND(AA93="Baja",AC93="Menor"),AND(AA93="Baja",AC93="Moderado"),AND(AA93="Media",AC93="Leve"),AND(AA93="Media",AC93="Menor"),AND(AA93="Media",AC93="Moderado"),AND(AA93="Alta",AC93="Leve"),AND(AA93="Alta",AC93="Menor")),"Moderado",IF(OR(AND(AA93="Muy Baja",AC93="Mayor"),AND(AA93="Baja",AC93="Mayor"),AND(AA93="Media",AC93="Mayor"),AND(AA93="Alta",AC93="Moderado"),AND(AA93="Alta",AC93="Mayor"),AND(AA93="Muy Alta",AC93="Leve"),AND(AA93="Muy Alta",AC93="Menor"),AND(AA93="Muy Alta",AC93="Moderado"),AND(AA93="Muy Alta",AC93="Mayor")),"Alto",IF(OR(AND(AA93="Muy Baja",AC93="Catastrófico"),AND(AA93="Baja",AC93="Catastrófico"),AND(AA93="Media",AC93="Catastrófico"),AND(AA93="Alta",AC93="Catastrófico"),AND(AA93="Muy Alta",AC93="Catastrófico")),"Extremo","")))),"")</f>
        <v/>
      </c>
      <c r="AF93" s="116"/>
      <c r="AG93" s="121"/>
      <c r="AH93" s="122"/>
      <c r="AI93" s="123"/>
      <c r="AJ93" s="123"/>
      <c r="AK93" s="121"/>
      <c r="AL93" s="122"/>
    </row>
    <row r="94" spans="1:38" x14ac:dyDescent="0.3">
      <c r="A94" s="209"/>
      <c r="B94" s="139"/>
      <c r="C94" s="139"/>
      <c r="D94" s="210"/>
      <c r="E94" s="200"/>
      <c r="F94" s="141"/>
      <c r="G94" s="210"/>
      <c r="H94" s="140"/>
      <c r="I94" s="211"/>
      <c r="J94" s="207"/>
      <c r="K94" s="206"/>
      <c r="L94" s="205"/>
      <c r="M94" s="206">
        <f t="shared" ref="M94:M98" ca="1" si="116">IF(NOT(ISERROR(MATCH(L94,_xlfn.ANCHORARRAY(E105),0))),K107&amp;"Por favor no seleccionar los criterios de impacto",L94)</f>
        <v>0</v>
      </c>
      <c r="N94" s="207"/>
      <c r="O94" s="206"/>
      <c r="P94" s="208"/>
      <c r="Q94" s="113">
        <v>2</v>
      </c>
      <c r="R94" s="114"/>
      <c r="S94" s="115" t="str">
        <f>IF(OR(T94="Preventivo",T94="Detectivo"),"Probabilidad",IF(T94="Correctivo","Impacto",""))</f>
        <v/>
      </c>
      <c r="T94" s="116"/>
      <c r="U94" s="116"/>
      <c r="V94" s="117" t="str">
        <f t="shared" ref="V94:V98" si="117">IF(AND(T94="Preventivo",U94="Automático"),"50%",IF(AND(T94="Preventivo",U94="Manual"),"40%",IF(AND(T94="Detectivo",U94="Automático"),"40%",IF(AND(T94="Detectivo",U94="Manual"),"30%",IF(AND(T94="Correctivo",U94="Automático"),"35%",IF(AND(T94="Correctivo",U94="Manual"),"25%",""))))))</f>
        <v/>
      </c>
      <c r="W94" s="116"/>
      <c r="X94" s="116"/>
      <c r="Y94" s="116"/>
      <c r="Z94" s="118" t="str">
        <f>IFERROR(IF(AND(S93="Probabilidad",S94="Probabilidad"),(AB93-(+AB93*V94)),IF(S94="Probabilidad",(K93-(+K93*V94)),IF(S94="Impacto",AB93,""))),"")</f>
        <v/>
      </c>
      <c r="AA94" s="119" t="str">
        <f t="shared" ref="AA94:AA98" si="118">IFERROR(IF(Z94="","",IF(Z94&lt;=0.2,"Muy Baja",IF(Z94&lt;=0.4,"Baja",IF(Z94&lt;=0.6,"Media",IF(Z94&lt;=0.8,"Alta","Muy Alta"))))),"")</f>
        <v/>
      </c>
      <c r="AB94" s="117" t="str">
        <f t="shared" ref="AB94:AB98" si="119">+Z94</f>
        <v/>
      </c>
      <c r="AC94" s="119" t="str">
        <f t="shared" ref="AC94:AC98" si="120">IFERROR(IF(AD94="","",IF(AD94&lt;=0.2,"Leve",IF(AD94&lt;=0.4,"Menor",IF(AD94&lt;=0.6,"Moderado",IF(AD94&lt;=0.8,"Mayor","Catastrófico"))))),"")</f>
        <v/>
      </c>
      <c r="AD94" s="117" t="str">
        <f>IFERROR(IF(AND(S93="Impacto",S94="Impacto"),(AD87-(+AD87*V94)),IF(S94="Impacto",($O$33-(+$O$33*V94)),IF(S94="Probabilidad",AD87,""))),"")</f>
        <v/>
      </c>
      <c r="AE94" s="120" t="str">
        <f t="shared" ref="AE94:AE95" si="121">IFERROR(IF(OR(AND(AA94="Muy Baja",AC94="Leve"),AND(AA94="Muy Baja",AC94="Menor"),AND(AA94="Baja",AC94="Leve")),"Bajo",IF(OR(AND(AA94="Muy baja",AC94="Moderado"),AND(AA94="Baja",AC94="Menor"),AND(AA94="Baja",AC94="Moderado"),AND(AA94="Media",AC94="Leve"),AND(AA94="Media",AC94="Menor"),AND(AA94="Media",AC94="Moderado"),AND(AA94="Alta",AC94="Leve"),AND(AA94="Alta",AC94="Menor")),"Moderado",IF(OR(AND(AA94="Muy Baja",AC94="Mayor"),AND(AA94="Baja",AC94="Mayor"),AND(AA94="Media",AC94="Mayor"),AND(AA94="Alta",AC94="Moderado"),AND(AA94="Alta",AC94="Mayor"),AND(AA94="Muy Alta",AC94="Leve"),AND(AA94="Muy Alta",AC94="Menor"),AND(AA94="Muy Alta",AC94="Moderado"),AND(AA94="Muy Alta",AC94="Mayor")),"Alto",IF(OR(AND(AA94="Muy Baja",AC94="Catastrófico"),AND(AA94="Baja",AC94="Catastrófico"),AND(AA94="Media",AC94="Catastrófico"),AND(AA94="Alta",AC94="Catastrófico"),AND(AA94="Muy Alta",AC94="Catastrófico")),"Extremo","")))),"")</f>
        <v/>
      </c>
      <c r="AF94" s="116"/>
      <c r="AG94" s="121"/>
      <c r="AH94" s="122"/>
      <c r="AI94" s="123"/>
      <c r="AJ94" s="123"/>
      <c r="AK94" s="121"/>
      <c r="AL94" s="122"/>
    </row>
    <row r="95" spans="1:38" x14ac:dyDescent="0.3">
      <c r="A95" s="209"/>
      <c r="B95" s="139"/>
      <c r="C95" s="139"/>
      <c r="D95" s="210"/>
      <c r="E95" s="200"/>
      <c r="F95" s="141"/>
      <c r="G95" s="210"/>
      <c r="H95" s="140"/>
      <c r="I95" s="211"/>
      <c r="J95" s="207"/>
      <c r="K95" s="206"/>
      <c r="L95" s="205"/>
      <c r="M95" s="206">
        <f t="shared" ca="1" si="116"/>
        <v>0</v>
      </c>
      <c r="N95" s="207"/>
      <c r="O95" s="206"/>
      <c r="P95" s="208"/>
      <c r="Q95" s="113">
        <v>3</v>
      </c>
      <c r="R95" s="126"/>
      <c r="S95" s="115" t="str">
        <f>IF(OR(T95="Preventivo",T95="Detectivo"),"Probabilidad",IF(T95="Correctivo","Impacto",""))</f>
        <v/>
      </c>
      <c r="T95" s="116"/>
      <c r="U95" s="116"/>
      <c r="V95" s="117" t="str">
        <f t="shared" si="117"/>
        <v/>
      </c>
      <c r="W95" s="116"/>
      <c r="X95" s="116"/>
      <c r="Y95" s="116"/>
      <c r="Z95" s="118" t="str">
        <f>IFERROR(IF(AND(S94="Probabilidad",S95="Probabilidad"),(AB94-(+AB94*V95)),IF(AND(S94="Impacto",S95="Probabilidad"),(AB93-(+AB93*V95)),IF(S95="Impacto",AB94,""))),"")</f>
        <v/>
      </c>
      <c r="AA95" s="119" t="str">
        <f t="shared" si="118"/>
        <v/>
      </c>
      <c r="AB95" s="117" t="str">
        <f t="shared" si="119"/>
        <v/>
      </c>
      <c r="AC95" s="119" t="str">
        <f t="shared" si="120"/>
        <v/>
      </c>
      <c r="AD95" s="117" t="str">
        <f>IFERROR(IF(AND(S94="Impacto",S95="Impacto"),(AD94-(+AD94*V95)),IF(AND(S94="Probabilidad",S95="Impacto"),(AD93-(+AD93*V95)),IF(S95="Probabilidad",AD94,""))),"")</f>
        <v/>
      </c>
      <c r="AE95" s="120" t="str">
        <f t="shared" si="121"/>
        <v/>
      </c>
      <c r="AF95" s="116"/>
      <c r="AG95" s="121"/>
      <c r="AH95" s="122"/>
      <c r="AI95" s="123"/>
      <c r="AJ95" s="123"/>
      <c r="AK95" s="121"/>
      <c r="AL95" s="122"/>
    </row>
    <row r="96" spans="1:38" x14ac:dyDescent="0.3">
      <c r="A96" s="209"/>
      <c r="B96" s="139"/>
      <c r="C96" s="139"/>
      <c r="D96" s="210"/>
      <c r="E96" s="200"/>
      <c r="F96" s="141"/>
      <c r="G96" s="210"/>
      <c r="H96" s="140"/>
      <c r="I96" s="211"/>
      <c r="J96" s="207"/>
      <c r="K96" s="206"/>
      <c r="L96" s="205"/>
      <c r="M96" s="206">
        <f t="shared" ca="1" si="116"/>
        <v>0</v>
      </c>
      <c r="N96" s="207"/>
      <c r="O96" s="206"/>
      <c r="P96" s="208"/>
      <c r="Q96" s="113">
        <v>4</v>
      </c>
      <c r="R96" s="114"/>
      <c r="S96" s="115" t="str">
        <f t="shared" ref="S96:S98" si="122">IF(OR(T96="Preventivo",T96="Detectivo"),"Probabilidad",IF(T96="Correctivo","Impacto",""))</f>
        <v/>
      </c>
      <c r="T96" s="116"/>
      <c r="U96" s="116"/>
      <c r="V96" s="117" t="str">
        <f t="shared" si="117"/>
        <v/>
      </c>
      <c r="W96" s="116"/>
      <c r="X96" s="116"/>
      <c r="Y96" s="116"/>
      <c r="Z96" s="118" t="str">
        <f t="shared" ref="Z96:Z98" si="123">IFERROR(IF(AND(S95="Probabilidad",S96="Probabilidad"),(AB95-(+AB95*V96)),IF(AND(S95="Impacto",S96="Probabilidad"),(AB94-(+AB94*V96)),IF(S96="Impacto",AB95,""))),"")</f>
        <v/>
      </c>
      <c r="AA96" s="119" t="str">
        <f t="shared" si="118"/>
        <v/>
      </c>
      <c r="AB96" s="117" t="str">
        <f t="shared" si="119"/>
        <v/>
      </c>
      <c r="AC96" s="119" t="str">
        <f t="shared" si="120"/>
        <v/>
      </c>
      <c r="AD96" s="117" t="str">
        <f t="shared" ref="AD96:AD98" si="124">IFERROR(IF(AND(S95="Impacto",S96="Impacto"),(AD95-(+AD95*V96)),IF(AND(S95="Probabilidad",S96="Impacto"),(AD94-(+AD94*V96)),IF(S96="Probabilidad",AD95,""))),"")</f>
        <v/>
      </c>
      <c r="AE96" s="120" t="str">
        <f>IFERROR(IF(OR(AND(AA96="Muy Baja",AC96="Leve"),AND(AA96="Muy Baja",AC96="Menor"),AND(AA96="Baja",AC96="Leve")),"Bajo",IF(OR(AND(AA96="Muy baja",AC96="Moderado"),AND(AA96="Baja",AC96="Menor"),AND(AA96="Baja",AC96="Moderado"),AND(AA96="Media",AC96="Leve"),AND(AA96="Media",AC96="Menor"),AND(AA96="Media",AC96="Moderado"),AND(AA96="Alta",AC96="Leve"),AND(AA96="Alta",AC96="Menor")),"Moderado",IF(OR(AND(AA96="Muy Baja",AC96="Mayor"),AND(AA96="Baja",AC96="Mayor"),AND(AA96="Media",AC96="Mayor"),AND(AA96="Alta",AC96="Moderado"),AND(AA96="Alta",AC96="Mayor"),AND(AA96="Muy Alta",AC96="Leve"),AND(AA96="Muy Alta",AC96="Menor"),AND(AA96="Muy Alta",AC96="Moderado"),AND(AA96="Muy Alta",AC96="Mayor")),"Alto",IF(OR(AND(AA96="Muy Baja",AC96="Catastrófico"),AND(AA96="Baja",AC96="Catastrófico"),AND(AA96="Media",AC96="Catastrófico"),AND(AA96="Alta",AC96="Catastrófico"),AND(AA96="Muy Alta",AC96="Catastrófico")),"Extremo","")))),"")</f>
        <v/>
      </c>
      <c r="AF96" s="116"/>
      <c r="AG96" s="121"/>
      <c r="AH96" s="122"/>
      <c r="AI96" s="123"/>
      <c r="AJ96" s="123"/>
      <c r="AK96" s="121"/>
      <c r="AL96" s="122"/>
    </row>
    <row r="97" spans="1:38" x14ac:dyDescent="0.3">
      <c r="A97" s="209"/>
      <c r="B97" s="139"/>
      <c r="C97" s="139"/>
      <c r="D97" s="210"/>
      <c r="E97" s="200"/>
      <c r="F97" s="141"/>
      <c r="G97" s="210"/>
      <c r="H97" s="140"/>
      <c r="I97" s="211"/>
      <c r="J97" s="207"/>
      <c r="K97" s="206"/>
      <c r="L97" s="205"/>
      <c r="M97" s="206">
        <f t="shared" ca="1" si="116"/>
        <v>0</v>
      </c>
      <c r="N97" s="207"/>
      <c r="O97" s="206"/>
      <c r="P97" s="208"/>
      <c r="Q97" s="113">
        <v>5</v>
      </c>
      <c r="R97" s="114"/>
      <c r="S97" s="115" t="str">
        <f t="shared" si="122"/>
        <v/>
      </c>
      <c r="T97" s="116"/>
      <c r="U97" s="116"/>
      <c r="V97" s="117" t="str">
        <f t="shared" si="117"/>
        <v/>
      </c>
      <c r="W97" s="116"/>
      <c r="X97" s="116"/>
      <c r="Y97" s="116"/>
      <c r="Z97" s="118" t="str">
        <f t="shared" si="123"/>
        <v/>
      </c>
      <c r="AA97" s="119" t="str">
        <f t="shared" si="118"/>
        <v/>
      </c>
      <c r="AB97" s="117" t="str">
        <f t="shared" si="119"/>
        <v/>
      </c>
      <c r="AC97" s="119" t="str">
        <f t="shared" si="120"/>
        <v/>
      </c>
      <c r="AD97" s="117" t="str">
        <f t="shared" si="124"/>
        <v/>
      </c>
      <c r="AE97" s="120" t="str">
        <f t="shared" ref="AE97:AE98" si="125">IFERROR(IF(OR(AND(AA97="Muy Baja",AC97="Leve"),AND(AA97="Muy Baja",AC97="Menor"),AND(AA97="Baja",AC97="Leve")),"Bajo",IF(OR(AND(AA97="Muy baja",AC97="Moderado"),AND(AA97="Baja",AC97="Menor"),AND(AA97="Baja",AC97="Moderado"),AND(AA97="Media",AC97="Leve"),AND(AA97="Media",AC97="Menor"),AND(AA97="Media",AC97="Moderado"),AND(AA97="Alta",AC97="Leve"),AND(AA97="Alta",AC97="Menor")),"Moderado",IF(OR(AND(AA97="Muy Baja",AC97="Mayor"),AND(AA97="Baja",AC97="Mayor"),AND(AA97="Media",AC97="Mayor"),AND(AA97="Alta",AC97="Moderado"),AND(AA97="Alta",AC97="Mayor"),AND(AA97="Muy Alta",AC97="Leve"),AND(AA97="Muy Alta",AC97="Menor"),AND(AA97="Muy Alta",AC97="Moderado"),AND(AA97="Muy Alta",AC97="Mayor")),"Alto",IF(OR(AND(AA97="Muy Baja",AC97="Catastrófico"),AND(AA97="Baja",AC97="Catastrófico"),AND(AA97="Media",AC97="Catastrófico"),AND(AA97="Alta",AC97="Catastrófico"),AND(AA97="Muy Alta",AC97="Catastrófico")),"Extremo","")))),"")</f>
        <v/>
      </c>
      <c r="AF97" s="116"/>
      <c r="AG97" s="121"/>
      <c r="AH97" s="122"/>
      <c r="AI97" s="123"/>
      <c r="AJ97" s="123"/>
      <c r="AK97" s="121"/>
      <c r="AL97" s="122"/>
    </row>
    <row r="98" spans="1:38" x14ac:dyDescent="0.3">
      <c r="A98" s="209"/>
      <c r="B98" s="139"/>
      <c r="C98" s="139"/>
      <c r="D98" s="210"/>
      <c r="E98" s="200"/>
      <c r="F98" s="141"/>
      <c r="G98" s="210"/>
      <c r="H98" s="140"/>
      <c r="I98" s="211"/>
      <c r="J98" s="207"/>
      <c r="K98" s="206"/>
      <c r="L98" s="205"/>
      <c r="M98" s="206">
        <f t="shared" ca="1" si="116"/>
        <v>0</v>
      </c>
      <c r="N98" s="207"/>
      <c r="O98" s="206"/>
      <c r="P98" s="208"/>
      <c r="Q98" s="113">
        <v>6</v>
      </c>
      <c r="R98" s="114"/>
      <c r="S98" s="115" t="str">
        <f t="shared" si="122"/>
        <v/>
      </c>
      <c r="T98" s="116"/>
      <c r="U98" s="116"/>
      <c r="V98" s="117" t="str">
        <f t="shared" si="117"/>
        <v/>
      </c>
      <c r="W98" s="116"/>
      <c r="X98" s="116"/>
      <c r="Y98" s="116"/>
      <c r="Z98" s="118" t="str">
        <f t="shared" si="123"/>
        <v/>
      </c>
      <c r="AA98" s="119" t="str">
        <f t="shared" si="118"/>
        <v/>
      </c>
      <c r="AB98" s="117" t="str">
        <f t="shared" si="119"/>
        <v/>
      </c>
      <c r="AC98" s="119" t="str">
        <f t="shared" si="120"/>
        <v/>
      </c>
      <c r="AD98" s="117" t="str">
        <f t="shared" si="124"/>
        <v/>
      </c>
      <c r="AE98" s="120" t="str">
        <f t="shared" si="125"/>
        <v/>
      </c>
      <c r="AF98" s="116"/>
      <c r="AG98" s="121"/>
      <c r="AH98" s="122"/>
      <c r="AI98" s="123"/>
      <c r="AJ98" s="123"/>
      <c r="AK98" s="121"/>
      <c r="AL98" s="122"/>
    </row>
    <row r="99" spans="1:38" x14ac:dyDescent="0.3">
      <c r="A99" s="209">
        <v>6</v>
      </c>
      <c r="B99" s="139"/>
      <c r="C99" s="139"/>
      <c r="D99" s="210"/>
      <c r="E99" s="200"/>
      <c r="F99" s="141"/>
      <c r="G99" s="210"/>
      <c r="H99" s="140"/>
      <c r="I99" s="211"/>
      <c r="J99" s="207" t="str">
        <f>IF(I99&lt;=0,"",IF(I99&lt;=2,"Muy Baja",IF(I99&lt;=24,"Baja",IF(I99&lt;=500,"Media",IF(I99&lt;=5000,"Alta","Muy Alta")))))</f>
        <v/>
      </c>
      <c r="K99" s="206" t="str">
        <f>IF(J99="","",IF(J99="Muy Baja",0.2,IF(J99="Baja",0.4,IF(J99="Media",0.6,IF(J99="Alta",0.8,IF(J99="Muy Alta",1,))))))</f>
        <v/>
      </c>
      <c r="L99" s="205"/>
      <c r="M99" s="206">
        <f ca="1">IF(NOT(ISERROR(MATCH(L99,'Tabla Impacto'!$B$221:$B$223,0))),'Tabla Impacto'!$F$223&amp;"Por favor no seleccionar los criterios de impacto(Afectación Económica o presupuestal y Pérdida Reputacional)",L99)</f>
        <v>0</v>
      </c>
      <c r="N99" s="207" t="str">
        <f ca="1">IF(OR(M99='Tabla Impacto'!$C$11,M99='Tabla Impacto'!$D$11),"Leve",IF(OR(M99='Tabla Impacto'!$C$12,M99='Tabla Impacto'!$D$12),"Menor",IF(OR(M99='Tabla Impacto'!$C$13,M99='Tabla Impacto'!$D$13),"Moderado",IF(OR(M99='Tabla Impacto'!$C$14,M99='Tabla Impacto'!$D$14),"Mayor",IF(OR(M99='Tabla Impacto'!$C$15,M99='Tabla Impacto'!$D$15),"Catastrófico","")))))</f>
        <v/>
      </c>
      <c r="O99" s="206" t="str">
        <f ca="1">IF(N99="","",IF(N99="Leve",0.2,IF(N99="Menor",0.4,IF(N99="Moderado",0.6,IF(N99="Mayor",0.8,IF(N99="Catastrófico",1,))))))</f>
        <v/>
      </c>
      <c r="P99" s="208" t="str">
        <f ca="1">IF(OR(AND(J99="Muy Baja",N99="Leve"),AND(J99="Muy Baja",N99="Menor"),AND(J99="Baja",N99="Leve")),"Bajo",IF(OR(AND(J99="Muy baja",N99="Moderado"),AND(J99="Baja",N99="Menor"),AND(J99="Baja",N99="Moderado"),AND(J99="Media",N99="Leve"),AND(J99="Media",N99="Menor"),AND(J99="Media",N99="Moderado"),AND(J99="Alta",N99="Leve"),AND(J99="Alta",N99="Menor")),"Moderado",IF(OR(AND(J99="Muy Baja",N99="Mayor"),AND(J99="Baja",N99="Mayor"),AND(J99="Media",N99="Mayor"),AND(J99="Alta",N99="Moderado"),AND(J99="Alta",N99="Mayor"),AND(J99="Muy Alta",N99="Leve"),AND(J99="Muy Alta",N99="Menor"),AND(J99="Muy Alta",N99="Moderado"),AND(J99="Muy Alta",N99="Mayor")),"Alto",IF(OR(AND(J99="Muy Baja",N99="Catastrófico"),AND(J99="Baja",N99="Catastrófico"),AND(J99="Media",N99="Catastrófico"),AND(J99="Alta",N99="Catastrófico"),AND(J99="Muy Alta",N99="Catastrófico")),"Extremo",""))))</f>
        <v/>
      </c>
      <c r="Q99" s="113">
        <v>1</v>
      </c>
      <c r="R99" s="114"/>
      <c r="S99" s="115" t="str">
        <f>IF(OR(T99="Preventivo",T99="Detectivo"),"Probabilidad",IF(T99="Correctivo","Impacto",""))</f>
        <v/>
      </c>
      <c r="T99" s="116"/>
      <c r="U99" s="116"/>
      <c r="V99" s="117" t="str">
        <f>IF(AND(T99="Preventivo",U99="Automático"),"50%",IF(AND(T99="Preventivo",U99="Manual"),"40%",IF(AND(T99="Detectivo",U99="Automático"),"40%",IF(AND(T99="Detectivo",U99="Manual"),"30%",IF(AND(T99="Correctivo",U99="Automático"),"35%",IF(AND(T99="Correctivo",U99="Manual"),"25%",""))))))</f>
        <v/>
      </c>
      <c r="W99" s="116"/>
      <c r="X99" s="116"/>
      <c r="Y99" s="116"/>
      <c r="Z99" s="118" t="str">
        <f>IFERROR(IF(S99="Probabilidad",(K99-(+K99*V99)),IF(S99="Impacto",K99,"")),"")</f>
        <v/>
      </c>
      <c r="AA99" s="119" t="str">
        <f>IFERROR(IF(Z99="","",IF(Z99&lt;=0.2,"Muy Baja",IF(Z99&lt;=0.4,"Baja",IF(Z99&lt;=0.6,"Media",IF(Z99&lt;=0.8,"Alta","Muy Alta"))))),"")</f>
        <v/>
      </c>
      <c r="AB99" s="117" t="str">
        <f>+Z99</f>
        <v/>
      </c>
      <c r="AC99" s="119" t="str">
        <f>IFERROR(IF(AD99="","",IF(AD99&lt;=0.2,"Leve",IF(AD99&lt;=0.4,"Menor",IF(AD99&lt;=0.6,"Moderado",IF(AD99&lt;=0.8,"Mayor","Catastrófico"))))),"")</f>
        <v/>
      </c>
      <c r="AD99" s="117" t="str">
        <f>IFERROR(IF(S99="Impacto",(O99-(+O99*V99)),IF(S99="Probabilidad",O99,"")),"")</f>
        <v/>
      </c>
      <c r="AE99" s="120" t="str">
        <f>IFERROR(IF(OR(AND(AA99="Muy Baja",AC99="Leve"),AND(AA99="Muy Baja",AC99="Menor"),AND(AA99="Baja",AC99="Leve")),"Bajo",IF(OR(AND(AA99="Muy baja",AC99="Moderado"),AND(AA99="Baja",AC99="Menor"),AND(AA99="Baja",AC99="Moderado"),AND(AA99="Media",AC99="Leve"),AND(AA99="Media",AC99="Menor"),AND(AA99="Media",AC99="Moderado"),AND(AA99="Alta",AC99="Leve"),AND(AA99="Alta",AC99="Menor")),"Moderado",IF(OR(AND(AA99="Muy Baja",AC99="Mayor"),AND(AA99="Baja",AC99="Mayor"),AND(AA99="Media",AC99="Mayor"),AND(AA99="Alta",AC99="Moderado"),AND(AA99="Alta",AC99="Mayor"),AND(AA99="Muy Alta",AC99="Leve"),AND(AA99="Muy Alta",AC99="Menor"),AND(AA99="Muy Alta",AC99="Moderado"),AND(AA99="Muy Alta",AC99="Mayor")),"Alto",IF(OR(AND(AA99="Muy Baja",AC99="Catastrófico"),AND(AA99="Baja",AC99="Catastrófico"),AND(AA99="Media",AC99="Catastrófico"),AND(AA99="Alta",AC99="Catastrófico"),AND(AA99="Muy Alta",AC99="Catastrófico")),"Extremo","")))),"")</f>
        <v/>
      </c>
      <c r="AF99" s="116"/>
      <c r="AG99" s="121"/>
      <c r="AH99" s="122"/>
      <c r="AI99" s="123"/>
      <c r="AJ99" s="123"/>
      <c r="AK99" s="121"/>
      <c r="AL99" s="122"/>
    </row>
    <row r="100" spans="1:38" x14ac:dyDescent="0.3">
      <c r="A100" s="209"/>
      <c r="B100" s="139"/>
      <c r="C100" s="139"/>
      <c r="D100" s="210"/>
      <c r="E100" s="200"/>
      <c r="F100" s="141"/>
      <c r="G100" s="210"/>
      <c r="H100" s="140"/>
      <c r="I100" s="211"/>
      <c r="J100" s="207"/>
      <c r="K100" s="206"/>
      <c r="L100" s="205"/>
      <c r="M100" s="206">
        <f t="shared" ref="M100:M104" ca="1" si="126">IF(NOT(ISERROR(MATCH(L100,_xlfn.ANCHORARRAY(E111),0))),K113&amp;"Por favor no seleccionar los criterios de impacto",L100)</f>
        <v>0</v>
      </c>
      <c r="N100" s="207"/>
      <c r="O100" s="206"/>
      <c r="P100" s="208"/>
      <c r="Q100" s="113">
        <v>2</v>
      </c>
      <c r="R100" s="114"/>
      <c r="S100" s="115" t="str">
        <f>IF(OR(T100="Preventivo",T100="Detectivo"),"Probabilidad",IF(T100="Correctivo","Impacto",""))</f>
        <v/>
      </c>
      <c r="T100" s="116"/>
      <c r="U100" s="116"/>
      <c r="V100" s="117" t="str">
        <f t="shared" ref="V100:V104" si="127">IF(AND(T100="Preventivo",U100="Automático"),"50%",IF(AND(T100="Preventivo",U100="Manual"),"40%",IF(AND(T100="Detectivo",U100="Automático"),"40%",IF(AND(T100="Detectivo",U100="Manual"),"30%",IF(AND(T100="Correctivo",U100="Automático"),"35%",IF(AND(T100="Correctivo",U100="Manual"),"25%",""))))))</f>
        <v/>
      </c>
      <c r="W100" s="116"/>
      <c r="X100" s="116"/>
      <c r="Y100" s="116"/>
      <c r="Z100" s="118" t="str">
        <f>IFERROR(IF(AND(S99="Probabilidad",S100="Probabilidad"),(AB99-(+AB99*V100)),IF(S100="Probabilidad",(K99-(+K99*V100)),IF(S100="Impacto",AB99,""))),"")</f>
        <v/>
      </c>
      <c r="AA100" s="119" t="str">
        <f t="shared" ref="AA100:AA104" si="128">IFERROR(IF(Z100="","",IF(Z100&lt;=0.2,"Muy Baja",IF(Z100&lt;=0.4,"Baja",IF(Z100&lt;=0.6,"Media",IF(Z100&lt;=0.8,"Alta","Muy Alta"))))),"")</f>
        <v/>
      </c>
      <c r="AB100" s="117" t="str">
        <f t="shared" ref="AB100:AB104" si="129">+Z100</f>
        <v/>
      </c>
      <c r="AC100" s="119" t="str">
        <f t="shared" ref="AC100:AC103" si="130">IFERROR(IF(AD100="","",IF(AD100&lt;=0.2,"Leve",IF(AD100&lt;=0.4,"Menor",IF(AD100&lt;=0.6,"Moderado",IF(AD100&lt;=0.8,"Mayor","Catastrófico"))))),"")</f>
        <v/>
      </c>
      <c r="AD100" s="117" t="str">
        <f>IFERROR(IF(AND(S99="Impacto",S100="Impacto"),(AD93-(+AD93*V100)),IF(S100="Impacto",($O$39-(+$O$39*V100)),IF(S100="Probabilidad",AD93,""))),"")</f>
        <v/>
      </c>
      <c r="AE100" s="120" t="str">
        <f t="shared" ref="AE100:AE101" si="131">IFERROR(IF(OR(AND(AA100="Muy Baja",AC100="Leve"),AND(AA100="Muy Baja",AC100="Menor"),AND(AA100="Baja",AC100="Leve")),"Bajo",IF(OR(AND(AA100="Muy baja",AC100="Moderado"),AND(AA100="Baja",AC100="Menor"),AND(AA100="Baja",AC100="Moderado"),AND(AA100="Media",AC100="Leve"),AND(AA100="Media",AC100="Menor"),AND(AA100="Media",AC100="Moderado"),AND(AA100="Alta",AC100="Leve"),AND(AA100="Alta",AC100="Menor")),"Moderado",IF(OR(AND(AA100="Muy Baja",AC100="Mayor"),AND(AA100="Baja",AC100="Mayor"),AND(AA100="Media",AC100="Mayor"),AND(AA100="Alta",AC100="Moderado"),AND(AA100="Alta",AC100="Mayor"),AND(AA100="Muy Alta",AC100="Leve"),AND(AA100="Muy Alta",AC100="Menor"),AND(AA100="Muy Alta",AC100="Moderado"),AND(AA100="Muy Alta",AC100="Mayor")),"Alto",IF(OR(AND(AA100="Muy Baja",AC100="Catastrófico"),AND(AA100="Baja",AC100="Catastrófico"),AND(AA100="Media",AC100="Catastrófico"),AND(AA100="Alta",AC100="Catastrófico"),AND(AA100="Muy Alta",AC100="Catastrófico")),"Extremo","")))),"")</f>
        <v/>
      </c>
      <c r="AF100" s="116"/>
      <c r="AG100" s="121"/>
      <c r="AH100" s="122"/>
      <c r="AI100" s="123"/>
      <c r="AJ100" s="123"/>
      <c r="AK100" s="121"/>
      <c r="AL100" s="122"/>
    </row>
    <row r="101" spans="1:38" x14ac:dyDescent="0.3">
      <c r="A101" s="209"/>
      <c r="B101" s="139"/>
      <c r="C101" s="139"/>
      <c r="D101" s="210"/>
      <c r="E101" s="200"/>
      <c r="F101" s="141"/>
      <c r="G101" s="210"/>
      <c r="H101" s="140"/>
      <c r="I101" s="211"/>
      <c r="J101" s="207"/>
      <c r="K101" s="206"/>
      <c r="L101" s="205"/>
      <c r="M101" s="206">
        <f t="shared" ca="1" si="126"/>
        <v>0</v>
      </c>
      <c r="N101" s="207"/>
      <c r="O101" s="206"/>
      <c r="P101" s="208"/>
      <c r="Q101" s="113">
        <v>3</v>
      </c>
      <c r="R101" s="126"/>
      <c r="S101" s="115" t="str">
        <f>IF(OR(T101="Preventivo",T101="Detectivo"),"Probabilidad",IF(T101="Correctivo","Impacto",""))</f>
        <v/>
      </c>
      <c r="T101" s="116"/>
      <c r="U101" s="116"/>
      <c r="V101" s="117" t="str">
        <f t="shared" si="127"/>
        <v/>
      </c>
      <c r="W101" s="116"/>
      <c r="X101" s="116"/>
      <c r="Y101" s="116"/>
      <c r="Z101" s="118" t="str">
        <f>IFERROR(IF(AND(S100="Probabilidad",S101="Probabilidad"),(AB100-(+AB100*V101)),IF(AND(S100="Impacto",S101="Probabilidad"),(AB99-(+AB99*V101)),IF(S101="Impacto",AB100,""))),"")</f>
        <v/>
      </c>
      <c r="AA101" s="119" t="str">
        <f t="shared" si="128"/>
        <v/>
      </c>
      <c r="AB101" s="117" t="str">
        <f t="shared" si="129"/>
        <v/>
      </c>
      <c r="AC101" s="119" t="str">
        <f t="shared" si="130"/>
        <v/>
      </c>
      <c r="AD101" s="117" t="str">
        <f>IFERROR(IF(AND(S100="Impacto",S101="Impacto"),(AD100-(+AD100*V101)),IF(AND(S100="Probabilidad",S101="Impacto"),(AD99-(+AD99*V101)),IF(S101="Probabilidad",AD100,""))),"")</f>
        <v/>
      </c>
      <c r="AE101" s="120" t="str">
        <f t="shared" si="131"/>
        <v/>
      </c>
      <c r="AF101" s="116"/>
      <c r="AG101" s="121"/>
      <c r="AH101" s="122"/>
      <c r="AI101" s="123"/>
      <c r="AJ101" s="123"/>
      <c r="AK101" s="121"/>
      <c r="AL101" s="122"/>
    </row>
    <row r="102" spans="1:38" x14ac:dyDescent="0.3">
      <c r="A102" s="209"/>
      <c r="B102" s="139"/>
      <c r="C102" s="139"/>
      <c r="D102" s="210"/>
      <c r="E102" s="200"/>
      <c r="F102" s="141"/>
      <c r="G102" s="210"/>
      <c r="H102" s="140"/>
      <c r="I102" s="211"/>
      <c r="J102" s="207"/>
      <c r="K102" s="206"/>
      <c r="L102" s="205"/>
      <c r="M102" s="206">
        <f t="shared" ca="1" si="126"/>
        <v>0</v>
      </c>
      <c r="N102" s="207"/>
      <c r="O102" s="206"/>
      <c r="P102" s="208"/>
      <c r="Q102" s="113">
        <v>4</v>
      </c>
      <c r="R102" s="114"/>
      <c r="S102" s="115" t="str">
        <f t="shared" ref="S102:S104" si="132">IF(OR(T102="Preventivo",T102="Detectivo"),"Probabilidad",IF(T102="Correctivo","Impacto",""))</f>
        <v/>
      </c>
      <c r="T102" s="116"/>
      <c r="U102" s="116"/>
      <c r="V102" s="117" t="str">
        <f t="shared" si="127"/>
        <v/>
      </c>
      <c r="W102" s="116"/>
      <c r="X102" s="116"/>
      <c r="Y102" s="116"/>
      <c r="Z102" s="118" t="str">
        <f t="shared" ref="Z102:Z104" si="133">IFERROR(IF(AND(S101="Probabilidad",S102="Probabilidad"),(AB101-(+AB101*V102)),IF(AND(S101="Impacto",S102="Probabilidad"),(AB100-(+AB100*V102)),IF(S102="Impacto",AB101,""))),"")</f>
        <v/>
      </c>
      <c r="AA102" s="119" t="str">
        <f t="shared" si="128"/>
        <v/>
      </c>
      <c r="AB102" s="117" t="str">
        <f t="shared" si="129"/>
        <v/>
      </c>
      <c r="AC102" s="119" t="str">
        <f t="shared" si="130"/>
        <v/>
      </c>
      <c r="AD102" s="117" t="str">
        <f t="shared" ref="AD102:AD104" si="134">IFERROR(IF(AND(S101="Impacto",S102="Impacto"),(AD101-(+AD101*V102)),IF(AND(S101="Probabilidad",S102="Impacto"),(AD100-(+AD100*V102)),IF(S102="Probabilidad",AD101,""))),"")</f>
        <v/>
      </c>
      <c r="AE102" s="120" t="str">
        <f>IFERROR(IF(OR(AND(AA102="Muy Baja",AC102="Leve"),AND(AA102="Muy Baja",AC102="Menor"),AND(AA102="Baja",AC102="Leve")),"Bajo",IF(OR(AND(AA102="Muy baja",AC102="Moderado"),AND(AA102="Baja",AC102="Menor"),AND(AA102="Baja",AC102="Moderado"),AND(AA102="Media",AC102="Leve"),AND(AA102="Media",AC102="Menor"),AND(AA102="Media",AC102="Moderado"),AND(AA102="Alta",AC102="Leve"),AND(AA102="Alta",AC102="Menor")),"Moderado",IF(OR(AND(AA102="Muy Baja",AC102="Mayor"),AND(AA102="Baja",AC102="Mayor"),AND(AA102="Media",AC102="Mayor"),AND(AA102="Alta",AC102="Moderado"),AND(AA102="Alta",AC102="Mayor"),AND(AA102="Muy Alta",AC102="Leve"),AND(AA102="Muy Alta",AC102="Menor"),AND(AA102="Muy Alta",AC102="Moderado"),AND(AA102="Muy Alta",AC102="Mayor")),"Alto",IF(OR(AND(AA102="Muy Baja",AC102="Catastrófico"),AND(AA102="Baja",AC102="Catastrófico"),AND(AA102="Media",AC102="Catastrófico"),AND(AA102="Alta",AC102="Catastrófico"),AND(AA102="Muy Alta",AC102="Catastrófico")),"Extremo","")))),"")</f>
        <v/>
      </c>
      <c r="AF102" s="116"/>
      <c r="AG102" s="121"/>
      <c r="AH102" s="122"/>
      <c r="AI102" s="123"/>
      <c r="AJ102" s="123"/>
      <c r="AK102" s="121"/>
      <c r="AL102" s="122"/>
    </row>
    <row r="103" spans="1:38" x14ac:dyDescent="0.3">
      <c r="A103" s="209"/>
      <c r="B103" s="139"/>
      <c r="C103" s="139"/>
      <c r="D103" s="210"/>
      <c r="E103" s="200"/>
      <c r="F103" s="141"/>
      <c r="G103" s="210"/>
      <c r="H103" s="140"/>
      <c r="I103" s="211"/>
      <c r="J103" s="207"/>
      <c r="K103" s="206"/>
      <c r="L103" s="205"/>
      <c r="M103" s="206">
        <f t="shared" ca="1" si="126"/>
        <v>0</v>
      </c>
      <c r="N103" s="207"/>
      <c r="O103" s="206"/>
      <c r="P103" s="208"/>
      <c r="Q103" s="113">
        <v>5</v>
      </c>
      <c r="R103" s="114"/>
      <c r="S103" s="115" t="str">
        <f t="shared" si="132"/>
        <v/>
      </c>
      <c r="T103" s="116"/>
      <c r="U103" s="116"/>
      <c r="V103" s="117" t="str">
        <f t="shared" si="127"/>
        <v/>
      </c>
      <c r="W103" s="116"/>
      <c r="X103" s="116"/>
      <c r="Y103" s="116"/>
      <c r="Z103" s="118" t="str">
        <f t="shared" si="133"/>
        <v/>
      </c>
      <c r="AA103" s="119" t="str">
        <f t="shared" si="128"/>
        <v/>
      </c>
      <c r="AB103" s="117" t="str">
        <f t="shared" si="129"/>
        <v/>
      </c>
      <c r="AC103" s="119" t="str">
        <f t="shared" si="130"/>
        <v/>
      </c>
      <c r="AD103" s="117" t="str">
        <f t="shared" si="134"/>
        <v/>
      </c>
      <c r="AE103" s="120" t="str">
        <f t="shared" ref="AE103" si="135">IFERROR(IF(OR(AND(AA103="Muy Baja",AC103="Leve"),AND(AA103="Muy Baja",AC103="Menor"),AND(AA103="Baja",AC103="Leve")),"Bajo",IF(OR(AND(AA103="Muy baja",AC103="Moderado"),AND(AA103="Baja",AC103="Menor"),AND(AA103="Baja",AC103="Moderado"),AND(AA103="Media",AC103="Leve"),AND(AA103="Media",AC103="Menor"),AND(AA103="Media",AC103="Moderado"),AND(AA103="Alta",AC103="Leve"),AND(AA103="Alta",AC103="Menor")),"Moderado",IF(OR(AND(AA103="Muy Baja",AC103="Mayor"),AND(AA103="Baja",AC103="Mayor"),AND(AA103="Media",AC103="Mayor"),AND(AA103="Alta",AC103="Moderado"),AND(AA103="Alta",AC103="Mayor"),AND(AA103="Muy Alta",AC103="Leve"),AND(AA103="Muy Alta",AC103="Menor"),AND(AA103="Muy Alta",AC103="Moderado"),AND(AA103="Muy Alta",AC103="Mayor")),"Alto",IF(OR(AND(AA103="Muy Baja",AC103="Catastrófico"),AND(AA103="Baja",AC103="Catastrófico"),AND(AA103="Media",AC103="Catastrófico"),AND(AA103="Alta",AC103="Catastrófico"),AND(AA103="Muy Alta",AC103="Catastrófico")),"Extremo","")))),"")</f>
        <v/>
      </c>
      <c r="AF103" s="116"/>
      <c r="AG103" s="121"/>
      <c r="AH103" s="122"/>
      <c r="AI103" s="123"/>
      <c r="AJ103" s="123"/>
      <c r="AK103" s="121"/>
      <c r="AL103" s="122"/>
    </row>
    <row r="104" spans="1:38" x14ac:dyDescent="0.3">
      <c r="A104" s="209"/>
      <c r="B104" s="139"/>
      <c r="C104" s="139"/>
      <c r="D104" s="210"/>
      <c r="E104" s="200"/>
      <c r="F104" s="141"/>
      <c r="G104" s="210"/>
      <c r="H104" s="140"/>
      <c r="I104" s="211"/>
      <c r="J104" s="207"/>
      <c r="K104" s="206"/>
      <c r="L104" s="205"/>
      <c r="M104" s="206">
        <f t="shared" ca="1" si="126"/>
        <v>0</v>
      </c>
      <c r="N104" s="207"/>
      <c r="O104" s="206"/>
      <c r="P104" s="208"/>
      <c r="Q104" s="113">
        <v>6</v>
      </c>
      <c r="R104" s="114"/>
      <c r="S104" s="115" t="str">
        <f t="shared" si="132"/>
        <v/>
      </c>
      <c r="T104" s="116"/>
      <c r="U104" s="116"/>
      <c r="V104" s="117" t="str">
        <f t="shared" si="127"/>
        <v/>
      </c>
      <c r="W104" s="116"/>
      <c r="X104" s="116"/>
      <c r="Y104" s="116"/>
      <c r="Z104" s="118" t="str">
        <f t="shared" si="133"/>
        <v/>
      </c>
      <c r="AA104" s="119" t="str">
        <f t="shared" si="128"/>
        <v/>
      </c>
      <c r="AB104" s="117" t="str">
        <f t="shared" si="129"/>
        <v/>
      </c>
      <c r="AC104" s="119" t="str">
        <f>IFERROR(IF(AD104="","",IF(AD104&lt;=0.2,"Leve",IF(AD104&lt;=0.4,"Menor",IF(AD104&lt;=0.6,"Moderado",IF(AD104&lt;=0.8,"Mayor","Catastrófico"))))),"")</f>
        <v/>
      </c>
      <c r="AD104" s="117" t="str">
        <f t="shared" si="134"/>
        <v/>
      </c>
      <c r="AE104" s="120" t="str">
        <f>IFERROR(IF(OR(AND(AA104="Muy Baja",AC104="Leve"),AND(AA104="Muy Baja",AC104="Menor"),AND(AA104="Baja",AC104="Leve")),"Bajo",IF(OR(AND(AA104="Muy baja",AC104="Moderado"),AND(AA104="Baja",AC104="Menor"),AND(AA104="Baja",AC104="Moderado"),AND(AA104="Media",AC104="Leve"),AND(AA104="Media",AC104="Menor"),AND(AA104="Media",AC104="Moderado"),AND(AA104="Alta",AC104="Leve"),AND(AA104="Alta",AC104="Menor")),"Moderado",IF(OR(AND(AA104="Muy Baja",AC104="Mayor"),AND(AA104="Baja",AC104="Mayor"),AND(AA104="Media",AC104="Mayor"),AND(AA104="Alta",AC104="Moderado"),AND(AA104="Alta",AC104="Mayor"),AND(AA104="Muy Alta",AC104="Leve"),AND(AA104="Muy Alta",AC104="Menor"),AND(AA104="Muy Alta",AC104="Moderado"),AND(AA104="Muy Alta",AC104="Mayor")),"Alto",IF(OR(AND(AA104="Muy Baja",AC104="Catastrófico"),AND(AA104="Baja",AC104="Catastrófico"),AND(AA104="Media",AC104="Catastrófico"),AND(AA104="Alta",AC104="Catastrófico"),AND(AA104="Muy Alta",AC104="Catastrófico")),"Extremo","")))),"")</f>
        <v/>
      </c>
      <c r="AF104" s="116"/>
      <c r="AG104" s="121"/>
      <c r="AH104" s="122"/>
      <c r="AI104" s="123"/>
      <c r="AJ104" s="123"/>
      <c r="AK104" s="121"/>
      <c r="AL104" s="122"/>
    </row>
    <row r="105" spans="1:38" x14ac:dyDescent="0.3">
      <c r="A105" s="209">
        <v>7</v>
      </c>
      <c r="B105" s="139"/>
      <c r="C105" s="139"/>
      <c r="D105" s="210"/>
      <c r="E105" s="200"/>
      <c r="F105" s="141"/>
      <c r="G105" s="210"/>
      <c r="H105" s="140"/>
      <c r="I105" s="211"/>
      <c r="J105" s="207" t="str">
        <f>IF(I105&lt;=0,"",IF(I105&lt;=2,"Muy Baja",IF(I105&lt;=24,"Baja",IF(I105&lt;=500,"Media",IF(I105&lt;=5000,"Alta","Muy Alta")))))</f>
        <v/>
      </c>
      <c r="K105" s="206" t="str">
        <f>IF(J105="","",IF(J105="Muy Baja",0.2,IF(J105="Baja",0.4,IF(J105="Media",0.6,IF(J105="Alta",0.8,IF(J105="Muy Alta",1,))))))</f>
        <v/>
      </c>
      <c r="L105" s="205"/>
      <c r="M105" s="206">
        <f ca="1">IF(NOT(ISERROR(MATCH(L105,'Tabla Impacto'!$B$221:$B$223,0))),'Tabla Impacto'!$F$223&amp;"Por favor no seleccionar los criterios de impacto(Afectación Económica o presupuestal y Pérdida Reputacional)",L105)</f>
        <v>0</v>
      </c>
      <c r="N105" s="207" t="str">
        <f ca="1">IF(OR(M105='Tabla Impacto'!$C$11,M105='Tabla Impacto'!$D$11),"Leve",IF(OR(M105='Tabla Impacto'!$C$12,M105='Tabla Impacto'!$D$12),"Menor",IF(OR(M105='Tabla Impacto'!$C$13,M105='Tabla Impacto'!$D$13),"Moderado",IF(OR(M105='Tabla Impacto'!$C$14,M105='Tabla Impacto'!$D$14),"Mayor",IF(OR(M105='Tabla Impacto'!$C$15,M105='Tabla Impacto'!$D$15),"Catastrófico","")))))</f>
        <v/>
      </c>
      <c r="O105" s="206" t="str">
        <f ca="1">IF(N105="","",IF(N105="Leve",0.2,IF(N105="Menor",0.4,IF(N105="Moderado",0.6,IF(N105="Mayor",0.8,IF(N105="Catastrófico",1,))))))</f>
        <v/>
      </c>
      <c r="P105" s="208" t="str">
        <f ca="1">IF(OR(AND(J105="Muy Baja",N105="Leve"),AND(J105="Muy Baja",N105="Menor"),AND(J105="Baja",N105="Leve")),"Bajo",IF(OR(AND(J105="Muy baja",N105="Moderado"),AND(J105="Baja",N105="Menor"),AND(J105="Baja",N105="Moderado"),AND(J105="Media",N105="Leve"),AND(J105="Media",N105="Menor"),AND(J105="Media",N105="Moderado"),AND(J105="Alta",N105="Leve"),AND(J105="Alta",N105="Menor")),"Moderado",IF(OR(AND(J105="Muy Baja",N105="Mayor"),AND(J105="Baja",N105="Mayor"),AND(J105="Media",N105="Mayor"),AND(J105="Alta",N105="Moderado"),AND(J105="Alta",N105="Mayor"),AND(J105="Muy Alta",N105="Leve"),AND(J105="Muy Alta",N105="Menor"),AND(J105="Muy Alta",N105="Moderado"),AND(J105="Muy Alta",N105="Mayor")),"Alto",IF(OR(AND(J105="Muy Baja",N105="Catastrófico"),AND(J105="Baja",N105="Catastrófico"),AND(J105="Media",N105="Catastrófico"),AND(J105="Alta",N105="Catastrófico"),AND(J105="Muy Alta",N105="Catastrófico")),"Extremo",""))))</f>
        <v/>
      </c>
      <c r="Q105" s="113">
        <v>1</v>
      </c>
      <c r="R105" s="114"/>
      <c r="S105" s="115" t="str">
        <f>IF(OR(T105="Preventivo",T105="Detectivo"),"Probabilidad",IF(T105="Correctivo","Impacto",""))</f>
        <v/>
      </c>
      <c r="T105" s="116"/>
      <c r="U105" s="116"/>
      <c r="V105" s="117" t="str">
        <f>IF(AND(T105="Preventivo",U105="Automático"),"50%",IF(AND(T105="Preventivo",U105="Manual"),"40%",IF(AND(T105="Detectivo",U105="Automático"),"40%",IF(AND(T105="Detectivo",U105="Manual"),"30%",IF(AND(T105="Correctivo",U105="Automático"),"35%",IF(AND(T105="Correctivo",U105="Manual"),"25%",""))))))</f>
        <v/>
      </c>
      <c r="W105" s="116"/>
      <c r="X105" s="116"/>
      <c r="Y105" s="116"/>
      <c r="Z105" s="118" t="str">
        <f>IFERROR(IF(S105="Probabilidad",(K105-(+K105*V105)),IF(S105="Impacto",K105,"")),"")</f>
        <v/>
      </c>
      <c r="AA105" s="119" t="str">
        <f>IFERROR(IF(Z105="","",IF(Z105&lt;=0.2,"Muy Baja",IF(Z105&lt;=0.4,"Baja",IF(Z105&lt;=0.6,"Media",IF(Z105&lt;=0.8,"Alta","Muy Alta"))))),"")</f>
        <v/>
      </c>
      <c r="AB105" s="117" t="str">
        <f>+Z105</f>
        <v/>
      </c>
      <c r="AC105" s="119" t="str">
        <f>IFERROR(IF(AD105="","",IF(AD105&lt;=0.2,"Leve",IF(AD105&lt;=0.4,"Menor",IF(AD105&lt;=0.6,"Moderado",IF(AD105&lt;=0.8,"Mayor","Catastrófico"))))),"")</f>
        <v/>
      </c>
      <c r="AD105" s="117" t="str">
        <f>IFERROR(IF(S105="Impacto",(O105-(+O105*V105)),IF(S105="Probabilidad",O105,"")),"")</f>
        <v/>
      </c>
      <c r="AE105" s="120" t="str">
        <f>IFERROR(IF(OR(AND(AA105="Muy Baja",AC105="Leve"),AND(AA105="Muy Baja",AC105="Menor"),AND(AA105="Baja",AC105="Leve")),"Bajo",IF(OR(AND(AA105="Muy baja",AC105="Moderado"),AND(AA105="Baja",AC105="Menor"),AND(AA105="Baja",AC105="Moderado"),AND(AA105="Media",AC105="Leve"),AND(AA105="Media",AC105="Menor"),AND(AA105="Media",AC105="Moderado"),AND(AA105="Alta",AC105="Leve"),AND(AA105="Alta",AC105="Menor")),"Moderado",IF(OR(AND(AA105="Muy Baja",AC105="Mayor"),AND(AA105="Baja",AC105="Mayor"),AND(AA105="Media",AC105="Mayor"),AND(AA105="Alta",AC105="Moderado"),AND(AA105="Alta",AC105="Mayor"),AND(AA105="Muy Alta",AC105="Leve"),AND(AA105="Muy Alta",AC105="Menor"),AND(AA105="Muy Alta",AC105="Moderado"),AND(AA105="Muy Alta",AC105="Mayor")),"Alto",IF(OR(AND(AA105="Muy Baja",AC105="Catastrófico"),AND(AA105="Baja",AC105="Catastrófico"),AND(AA105="Media",AC105="Catastrófico"),AND(AA105="Alta",AC105="Catastrófico"),AND(AA105="Muy Alta",AC105="Catastrófico")),"Extremo","")))),"")</f>
        <v/>
      </c>
      <c r="AF105" s="116"/>
      <c r="AG105" s="121"/>
      <c r="AH105" s="122"/>
      <c r="AI105" s="123"/>
      <c r="AJ105" s="123"/>
      <c r="AK105" s="121"/>
      <c r="AL105" s="122"/>
    </row>
    <row r="106" spans="1:38" x14ac:dyDescent="0.3">
      <c r="A106" s="209"/>
      <c r="B106" s="139"/>
      <c r="C106" s="139"/>
      <c r="D106" s="210"/>
      <c r="E106" s="200"/>
      <c r="F106" s="141"/>
      <c r="G106" s="210"/>
      <c r="H106" s="140"/>
      <c r="I106" s="211"/>
      <c r="J106" s="207"/>
      <c r="K106" s="206"/>
      <c r="L106" s="205"/>
      <c r="M106" s="206">
        <f t="shared" ref="M106:M110" ca="1" si="136">IF(NOT(ISERROR(MATCH(L106,_xlfn.ANCHORARRAY(E117),0))),K119&amp;"Por favor no seleccionar los criterios de impacto",L106)</f>
        <v>0</v>
      </c>
      <c r="N106" s="207"/>
      <c r="O106" s="206"/>
      <c r="P106" s="208"/>
      <c r="Q106" s="113">
        <v>2</v>
      </c>
      <c r="R106" s="114"/>
      <c r="S106" s="115" t="str">
        <f>IF(OR(T106="Preventivo",T106="Detectivo"),"Probabilidad",IF(T106="Correctivo","Impacto",""))</f>
        <v/>
      </c>
      <c r="T106" s="116"/>
      <c r="U106" s="116"/>
      <c r="V106" s="117" t="str">
        <f t="shared" ref="V106:V110" si="137">IF(AND(T106="Preventivo",U106="Automático"),"50%",IF(AND(T106="Preventivo",U106="Manual"),"40%",IF(AND(T106="Detectivo",U106="Automático"),"40%",IF(AND(T106="Detectivo",U106="Manual"),"30%",IF(AND(T106="Correctivo",U106="Automático"),"35%",IF(AND(T106="Correctivo",U106="Manual"),"25%",""))))))</f>
        <v/>
      </c>
      <c r="W106" s="116"/>
      <c r="X106" s="116"/>
      <c r="Y106" s="116"/>
      <c r="Z106" s="118" t="str">
        <f>IFERROR(IF(AND(S105="Probabilidad",S106="Probabilidad"),(AB105-(+AB105*V106)),IF(S106="Probabilidad",(K105-(+K105*V106)),IF(S106="Impacto",AB105,""))),"")</f>
        <v/>
      </c>
      <c r="AA106" s="119" t="str">
        <f t="shared" ref="AA106:AA110" si="138">IFERROR(IF(Z106="","",IF(Z106&lt;=0.2,"Muy Baja",IF(Z106&lt;=0.4,"Baja",IF(Z106&lt;=0.6,"Media",IF(Z106&lt;=0.8,"Alta","Muy Alta"))))),"")</f>
        <v/>
      </c>
      <c r="AB106" s="117" t="str">
        <f t="shared" ref="AB106:AB110" si="139">+Z106</f>
        <v/>
      </c>
      <c r="AC106" s="119" t="str">
        <f t="shared" ref="AC106:AC110" si="140">IFERROR(IF(AD106="","",IF(AD106&lt;=0.2,"Leve",IF(AD106&lt;=0.4,"Menor",IF(AD106&lt;=0.6,"Moderado",IF(AD106&lt;=0.8,"Mayor","Catastrófico"))))),"")</f>
        <v/>
      </c>
      <c r="AD106" s="117" t="str">
        <f>IFERROR(IF(AND(S105="Impacto",S106="Impacto"),(AD99-(+AD99*V106)),IF(S106="Impacto",($O$45-(+$O$45*V106)),IF(S106="Probabilidad",AD99,""))),"")</f>
        <v/>
      </c>
      <c r="AE106" s="120" t="str">
        <f t="shared" ref="AE106:AE107" si="141">IFERROR(IF(OR(AND(AA106="Muy Baja",AC106="Leve"),AND(AA106="Muy Baja",AC106="Menor"),AND(AA106="Baja",AC106="Leve")),"Bajo",IF(OR(AND(AA106="Muy baja",AC106="Moderado"),AND(AA106="Baja",AC106="Menor"),AND(AA106="Baja",AC106="Moderado"),AND(AA106="Media",AC106="Leve"),AND(AA106="Media",AC106="Menor"),AND(AA106="Media",AC106="Moderado"),AND(AA106="Alta",AC106="Leve"),AND(AA106="Alta",AC106="Menor")),"Moderado",IF(OR(AND(AA106="Muy Baja",AC106="Mayor"),AND(AA106="Baja",AC106="Mayor"),AND(AA106="Media",AC106="Mayor"),AND(AA106="Alta",AC106="Moderado"),AND(AA106="Alta",AC106="Mayor"),AND(AA106="Muy Alta",AC106="Leve"),AND(AA106="Muy Alta",AC106="Menor"),AND(AA106="Muy Alta",AC106="Moderado"),AND(AA106="Muy Alta",AC106="Mayor")),"Alto",IF(OR(AND(AA106="Muy Baja",AC106="Catastrófico"),AND(AA106="Baja",AC106="Catastrófico"),AND(AA106="Media",AC106="Catastrófico"),AND(AA106="Alta",AC106="Catastrófico"),AND(AA106="Muy Alta",AC106="Catastrófico")),"Extremo","")))),"")</f>
        <v/>
      </c>
      <c r="AF106" s="116"/>
      <c r="AG106" s="121"/>
      <c r="AH106" s="122"/>
      <c r="AI106" s="123"/>
      <c r="AJ106" s="123"/>
      <c r="AK106" s="121"/>
      <c r="AL106" s="122"/>
    </row>
    <row r="107" spans="1:38" x14ac:dyDescent="0.3">
      <c r="A107" s="209"/>
      <c r="B107" s="139"/>
      <c r="C107" s="139"/>
      <c r="D107" s="210"/>
      <c r="E107" s="200"/>
      <c r="F107" s="141"/>
      <c r="G107" s="210"/>
      <c r="H107" s="140"/>
      <c r="I107" s="211"/>
      <c r="J107" s="207"/>
      <c r="K107" s="206"/>
      <c r="L107" s="205"/>
      <c r="M107" s="206">
        <f t="shared" ca="1" si="136"/>
        <v>0</v>
      </c>
      <c r="N107" s="207"/>
      <c r="O107" s="206"/>
      <c r="P107" s="208"/>
      <c r="Q107" s="113">
        <v>3</v>
      </c>
      <c r="R107" s="126"/>
      <c r="S107" s="115" t="str">
        <f>IF(OR(T107="Preventivo",T107="Detectivo"),"Probabilidad",IF(T107="Correctivo","Impacto",""))</f>
        <v/>
      </c>
      <c r="T107" s="116"/>
      <c r="U107" s="116"/>
      <c r="V107" s="117" t="str">
        <f t="shared" si="137"/>
        <v/>
      </c>
      <c r="W107" s="116"/>
      <c r="X107" s="116"/>
      <c r="Y107" s="116"/>
      <c r="Z107" s="118" t="str">
        <f>IFERROR(IF(AND(S106="Probabilidad",S107="Probabilidad"),(AB106-(+AB106*V107)),IF(AND(S106="Impacto",S107="Probabilidad"),(AB105-(+AB105*V107)),IF(S107="Impacto",AB106,""))),"")</f>
        <v/>
      </c>
      <c r="AA107" s="119" t="str">
        <f t="shared" si="138"/>
        <v/>
      </c>
      <c r="AB107" s="117" t="str">
        <f t="shared" si="139"/>
        <v/>
      </c>
      <c r="AC107" s="119" t="str">
        <f t="shared" si="140"/>
        <v/>
      </c>
      <c r="AD107" s="117" t="str">
        <f>IFERROR(IF(AND(S106="Impacto",S107="Impacto"),(AD106-(+AD106*V107)),IF(AND(S106="Probabilidad",S107="Impacto"),(AD105-(+AD105*V107)),IF(S107="Probabilidad",AD106,""))),"")</f>
        <v/>
      </c>
      <c r="AE107" s="120" t="str">
        <f t="shared" si="141"/>
        <v/>
      </c>
      <c r="AF107" s="116"/>
      <c r="AG107" s="121"/>
      <c r="AH107" s="122"/>
      <c r="AI107" s="123"/>
      <c r="AJ107" s="123"/>
      <c r="AK107" s="121"/>
      <c r="AL107" s="122"/>
    </row>
    <row r="108" spans="1:38" x14ac:dyDescent="0.3">
      <c r="A108" s="209"/>
      <c r="B108" s="139"/>
      <c r="C108" s="139"/>
      <c r="D108" s="210"/>
      <c r="E108" s="200"/>
      <c r="F108" s="141"/>
      <c r="G108" s="210"/>
      <c r="H108" s="140"/>
      <c r="I108" s="211"/>
      <c r="J108" s="207"/>
      <c r="K108" s="206"/>
      <c r="L108" s="205"/>
      <c r="M108" s="206">
        <f t="shared" ca="1" si="136"/>
        <v>0</v>
      </c>
      <c r="N108" s="207"/>
      <c r="O108" s="206"/>
      <c r="P108" s="208"/>
      <c r="Q108" s="113">
        <v>4</v>
      </c>
      <c r="R108" s="114"/>
      <c r="S108" s="115" t="str">
        <f t="shared" ref="S108:S110" si="142">IF(OR(T108="Preventivo",T108="Detectivo"),"Probabilidad",IF(T108="Correctivo","Impacto",""))</f>
        <v/>
      </c>
      <c r="T108" s="116"/>
      <c r="U108" s="116"/>
      <c r="V108" s="117" t="str">
        <f t="shared" si="137"/>
        <v/>
      </c>
      <c r="W108" s="116"/>
      <c r="X108" s="116"/>
      <c r="Y108" s="116"/>
      <c r="Z108" s="118" t="str">
        <f t="shared" ref="Z108:Z110" si="143">IFERROR(IF(AND(S107="Probabilidad",S108="Probabilidad"),(AB107-(+AB107*V108)),IF(AND(S107="Impacto",S108="Probabilidad"),(AB106-(+AB106*V108)),IF(S108="Impacto",AB107,""))),"")</f>
        <v/>
      </c>
      <c r="AA108" s="119" t="str">
        <f t="shared" si="138"/>
        <v/>
      </c>
      <c r="AB108" s="117" t="str">
        <f t="shared" si="139"/>
        <v/>
      </c>
      <c r="AC108" s="119" t="str">
        <f t="shared" si="140"/>
        <v/>
      </c>
      <c r="AD108" s="117" t="str">
        <f t="shared" ref="AD108:AD110" si="144">IFERROR(IF(AND(S107="Impacto",S108="Impacto"),(AD107-(+AD107*V108)),IF(AND(S107="Probabilidad",S108="Impacto"),(AD106-(+AD106*V108)),IF(S108="Probabilidad",AD107,""))),"")</f>
        <v/>
      </c>
      <c r="AE108" s="120" t="str">
        <f>IFERROR(IF(OR(AND(AA108="Muy Baja",AC108="Leve"),AND(AA108="Muy Baja",AC108="Menor"),AND(AA108="Baja",AC108="Leve")),"Bajo",IF(OR(AND(AA108="Muy baja",AC108="Moderado"),AND(AA108="Baja",AC108="Menor"),AND(AA108="Baja",AC108="Moderado"),AND(AA108="Media",AC108="Leve"),AND(AA108="Media",AC108="Menor"),AND(AA108="Media",AC108="Moderado"),AND(AA108="Alta",AC108="Leve"),AND(AA108="Alta",AC108="Menor")),"Moderado",IF(OR(AND(AA108="Muy Baja",AC108="Mayor"),AND(AA108="Baja",AC108="Mayor"),AND(AA108="Media",AC108="Mayor"),AND(AA108="Alta",AC108="Moderado"),AND(AA108="Alta",AC108="Mayor"),AND(AA108="Muy Alta",AC108="Leve"),AND(AA108="Muy Alta",AC108="Menor"),AND(AA108="Muy Alta",AC108="Moderado"),AND(AA108="Muy Alta",AC108="Mayor")),"Alto",IF(OR(AND(AA108="Muy Baja",AC108="Catastrófico"),AND(AA108="Baja",AC108="Catastrófico"),AND(AA108="Media",AC108="Catastrófico"),AND(AA108="Alta",AC108="Catastrófico"),AND(AA108="Muy Alta",AC108="Catastrófico")),"Extremo","")))),"")</f>
        <v/>
      </c>
      <c r="AF108" s="116"/>
      <c r="AG108" s="121"/>
      <c r="AH108" s="122"/>
      <c r="AI108" s="123"/>
      <c r="AJ108" s="123"/>
      <c r="AK108" s="121"/>
      <c r="AL108" s="122"/>
    </row>
    <row r="109" spans="1:38" x14ac:dyDescent="0.3">
      <c r="A109" s="209"/>
      <c r="B109" s="139"/>
      <c r="C109" s="139"/>
      <c r="D109" s="210"/>
      <c r="E109" s="200"/>
      <c r="F109" s="141"/>
      <c r="G109" s="210"/>
      <c r="H109" s="140"/>
      <c r="I109" s="211"/>
      <c r="J109" s="207"/>
      <c r="K109" s="206"/>
      <c r="L109" s="205"/>
      <c r="M109" s="206">
        <f t="shared" ca="1" si="136"/>
        <v>0</v>
      </c>
      <c r="N109" s="207"/>
      <c r="O109" s="206"/>
      <c r="P109" s="208"/>
      <c r="Q109" s="113">
        <v>5</v>
      </c>
      <c r="R109" s="114"/>
      <c r="S109" s="115" t="str">
        <f t="shared" si="142"/>
        <v/>
      </c>
      <c r="T109" s="116"/>
      <c r="U109" s="116"/>
      <c r="V109" s="117" t="str">
        <f t="shared" si="137"/>
        <v/>
      </c>
      <c r="W109" s="116"/>
      <c r="X109" s="116"/>
      <c r="Y109" s="116"/>
      <c r="Z109" s="118" t="str">
        <f t="shared" si="143"/>
        <v/>
      </c>
      <c r="AA109" s="119" t="str">
        <f t="shared" si="138"/>
        <v/>
      </c>
      <c r="AB109" s="117" t="str">
        <f t="shared" si="139"/>
        <v/>
      </c>
      <c r="AC109" s="119" t="str">
        <f t="shared" si="140"/>
        <v/>
      </c>
      <c r="AD109" s="117" t="str">
        <f t="shared" si="144"/>
        <v/>
      </c>
      <c r="AE109" s="120" t="str">
        <f t="shared" ref="AE109:AE110" si="145">IFERROR(IF(OR(AND(AA109="Muy Baja",AC109="Leve"),AND(AA109="Muy Baja",AC109="Menor"),AND(AA109="Baja",AC109="Leve")),"Bajo",IF(OR(AND(AA109="Muy baja",AC109="Moderado"),AND(AA109="Baja",AC109="Menor"),AND(AA109="Baja",AC109="Moderado"),AND(AA109="Media",AC109="Leve"),AND(AA109="Media",AC109="Menor"),AND(AA109="Media",AC109="Moderado"),AND(AA109="Alta",AC109="Leve"),AND(AA109="Alta",AC109="Menor")),"Moderado",IF(OR(AND(AA109="Muy Baja",AC109="Mayor"),AND(AA109="Baja",AC109="Mayor"),AND(AA109="Media",AC109="Mayor"),AND(AA109="Alta",AC109="Moderado"),AND(AA109="Alta",AC109="Mayor"),AND(AA109="Muy Alta",AC109="Leve"),AND(AA109="Muy Alta",AC109="Menor"),AND(AA109="Muy Alta",AC109="Moderado"),AND(AA109="Muy Alta",AC109="Mayor")),"Alto",IF(OR(AND(AA109="Muy Baja",AC109="Catastrófico"),AND(AA109="Baja",AC109="Catastrófico"),AND(AA109="Media",AC109="Catastrófico"),AND(AA109="Alta",AC109="Catastrófico"),AND(AA109="Muy Alta",AC109="Catastrófico")),"Extremo","")))),"")</f>
        <v/>
      </c>
      <c r="AF109" s="116"/>
      <c r="AG109" s="121"/>
      <c r="AH109" s="122"/>
      <c r="AI109" s="123"/>
      <c r="AJ109" s="123"/>
      <c r="AK109" s="121"/>
      <c r="AL109" s="122"/>
    </row>
    <row r="110" spans="1:38" x14ac:dyDescent="0.3">
      <c r="A110" s="209"/>
      <c r="B110" s="139"/>
      <c r="C110" s="139"/>
      <c r="D110" s="210"/>
      <c r="E110" s="200"/>
      <c r="F110" s="141"/>
      <c r="G110" s="210"/>
      <c r="H110" s="140"/>
      <c r="I110" s="211"/>
      <c r="J110" s="207"/>
      <c r="K110" s="206"/>
      <c r="L110" s="205"/>
      <c r="M110" s="206">
        <f t="shared" ca="1" si="136"/>
        <v>0</v>
      </c>
      <c r="N110" s="207"/>
      <c r="O110" s="206"/>
      <c r="P110" s="208"/>
      <c r="Q110" s="113">
        <v>6</v>
      </c>
      <c r="R110" s="114"/>
      <c r="S110" s="115" t="str">
        <f t="shared" si="142"/>
        <v/>
      </c>
      <c r="T110" s="116"/>
      <c r="U110" s="116"/>
      <c r="V110" s="117" t="str">
        <f t="shared" si="137"/>
        <v/>
      </c>
      <c r="W110" s="116"/>
      <c r="X110" s="116"/>
      <c r="Y110" s="116"/>
      <c r="Z110" s="118" t="str">
        <f t="shared" si="143"/>
        <v/>
      </c>
      <c r="AA110" s="119" t="str">
        <f t="shared" si="138"/>
        <v/>
      </c>
      <c r="AB110" s="117" t="str">
        <f t="shared" si="139"/>
        <v/>
      </c>
      <c r="AC110" s="119" t="str">
        <f t="shared" si="140"/>
        <v/>
      </c>
      <c r="AD110" s="117" t="str">
        <f t="shared" si="144"/>
        <v/>
      </c>
      <c r="AE110" s="120" t="str">
        <f t="shared" si="145"/>
        <v/>
      </c>
      <c r="AF110" s="116"/>
      <c r="AG110" s="121"/>
      <c r="AH110" s="122"/>
      <c r="AI110" s="123"/>
      <c r="AJ110" s="123"/>
      <c r="AK110" s="121"/>
      <c r="AL110" s="122"/>
    </row>
    <row r="111" spans="1:38" x14ac:dyDescent="0.3">
      <c r="A111" s="209">
        <v>8</v>
      </c>
      <c r="B111" s="139"/>
      <c r="C111" s="139"/>
      <c r="D111" s="210"/>
      <c r="E111" s="200"/>
      <c r="F111" s="141"/>
      <c r="G111" s="210"/>
      <c r="H111" s="140"/>
      <c r="I111" s="211"/>
      <c r="J111" s="207" t="str">
        <f>IF(I111&lt;=0,"",IF(I111&lt;=2,"Muy Baja",IF(I111&lt;=24,"Baja",IF(I111&lt;=500,"Media",IF(I111&lt;=5000,"Alta","Muy Alta")))))</f>
        <v/>
      </c>
      <c r="K111" s="206" t="str">
        <f>IF(J111="","",IF(J111="Muy Baja",0.2,IF(J111="Baja",0.4,IF(J111="Media",0.6,IF(J111="Alta",0.8,IF(J111="Muy Alta",1,))))))</f>
        <v/>
      </c>
      <c r="L111" s="205"/>
      <c r="M111" s="206">
        <f ca="1">IF(NOT(ISERROR(MATCH(L111,'Tabla Impacto'!$B$221:$B$223,0))),'Tabla Impacto'!$F$223&amp;"Por favor no seleccionar los criterios de impacto(Afectación Económica o presupuestal y Pérdida Reputacional)",L111)</f>
        <v>0</v>
      </c>
      <c r="N111" s="207" t="str">
        <f ca="1">IF(OR(M111='Tabla Impacto'!$C$11,M111='Tabla Impacto'!$D$11),"Leve",IF(OR(M111='Tabla Impacto'!$C$12,M111='Tabla Impacto'!$D$12),"Menor",IF(OR(M111='Tabla Impacto'!$C$13,M111='Tabla Impacto'!$D$13),"Moderado",IF(OR(M111='Tabla Impacto'!$C$14,M111='Tabla Impacto'!$D$14),"Mayor",IF(OR(M111='Tabla Impacto'!$C$15,M111='Tabla Impacto'!$D$15),"Catastrófico","")))))</f>
        <v/>
      </c>
      <c r="O111" s="206" t="str">
        <f ca="1">IF(N111="","",IF(N111="Leve",0.2,IF(N111="Menor",0.4,IF(N111="Moderado",0.6,IF(N111="Mayor",0.8,IF(N111="Catastrófico",1,))))))</f>
        <v/>
      </c>
      <c r="P111" s="208" t="str">
        <f ca="1">IF(OR(AND(J111="Muy Baja",N111="Leve"),AND(J111="Muy Baja",N111="Menor"),AND(J111="Baja",N111="Leve")),"Bajo",IF(OR(AND(J111="Muy baja",N111="Moderado"),AND(J111="Baja",N111="Menor"),AND(J111="Baja",N111="Moderado"),AND(J111="Media",N111="Leve"),AND(J111="Media",N111="Menor"),AND(J111="Media",N111="Moderado"),AND(J111="Alta",N111="Leve"),AND(J111="Alta",N111="Menor")),"Moderado",IF(OR(AND(J111="Muy Baja",N111="Mayor"),AND(J111="Baja",N111="Mayor"),AND(J111="Media",N111="Mayor"),AND(J111="Alta",N111="Moderado"),AND(J111="Alta",N111="Mayor"),AND(J111="Muy Alta",N111="Leve"),AND(J111="Muy Alta",N111="Menor"),AND(J111="Muy Alta",N111="Moderado"),AND(J111="Muy Alta",N111="Mayor")),"Alto",IF(OR(AND(J111="Muy Baja",N111="Catastrófico"),AND(J111="Baja",N111="Catastrófico"),AND(J111="Media",N111="Catastrófico"),AND(J111="Alta",N111="Catastrófico"),AND(J111="Muy Alta",N111="Catastrófico")),"Extremo",""))))</f>
        <v/>
      </c>
      <c r="Q111" s="113">
        <v>1</v>
      </c>
      <c r="R111" s="114"/>
      <c r="S111" s="115" t="str">
        <f>IF(OR(T111="Preventivo",T111="Detectivo"),"Probabilidad",IF(T111="Correctivo","Impacto",""))</f>
        <v/>
      </c>
      <c r="T111" s="116"/>
      <c r="U111" s="116"/>
      <c r="V111" s="117" t="str">
        <f>IF(AND(T111="Preventivo",U111="Automático"),"50%",IF(AND(T111="Preventivo",U111="Manual"),"40%",IF(AND(T111="Detectivo",U111="Automático"),"40%",IF(AND(T111="Detectivo",U111="Manual"),"30%",IF(AND(T111="Correctivo",U111="Automático"),"35%",IF(AND(T111="Correctivo",U111="Manual"),"25%",""))))))</f>
        <v/>
      </c>
      <c r="W111" s="116"/>
      <c r="X111" s="116"/>
      <c r="Y111" s="116"/>
      <c r="Z111" s="118" t="str">
        <f>IFERROR(IF(S111="Probabilidad",(K111-(+K111*V111)),IF(S111="Impacto",K111,"")),"")</f>
        <v/>
      </c>
      <c r="AA111" s="119" t="str">
        <f>IFERROR(IF(Z111="","",IF(Z111&lt;=0.2,"Muy Baja",IF(Z111&lt;=0.4,"Baja",IF(Z111&lt;=0.6,"Media",IF(Z111&lt;=0.8,"Alta","Muy Alta"))))),"")</f>
        <v/>
      </c>
      <c r="AB111" s="117" t="str">
        <f>+Z111</f>
        <v/>
      </c>
      <c r="AC111" s="119" t="str">
        <f>IFERROR(IF(AD111="","",IF(AD111&lt;=0.2,"Leve",IF(AD111&lt;=0.4,"Menor",IF(AD111&lt;=0.6,"Moderado",IF(AD111&lt;=0.8,"Mayor","Catastrófico"))))),"")</f>
        <v/>
      </c>
      <c r="AD111" s="117" t="str">
        <f>IFERROR(IF(S111="Impacto",(O111-(+O111*V111)),IF(S111="Probabilidad",O111,"")),"")</f>
        <v/>
      </c>
      <c r="AE111" s="120" t="str">
        <f>IFERROR(IF(OR(AND(AA111="Muy Baja",AC111="Leve"),AND(AA111="Muy Baja",AC111="Menor"),AND(AA111="Baja",AC111="Leve")),"Bajo",IF(OR(AND(AA111="Muy baja",AC111="Moderado"),AND(AA111="Baja",AC111="Menor"),AND(AA111="Baja",AC111="Moderado"),AND(AA111="Media",AC111="Leve"),AND(AA111="Media",AC111="Menor"),AND(AA111="Media",AC111="Moderado"),AND(AA111="Alta",AC111="Leve"),AND(AA111="Alta",AC111="Menor")),"Moderado",IF(OR(AND(AA111="Muy Baja",AC111="Mayor"),AND(AA111="Baja",AC111="Mayor"),AND(AA111="Media",AC111="Mayor"),AND(AA111="Alta",AC111="Moderado"),AND(AA111="Alta",AC111="Mayor"),AND(AA111="Muy Alta",AC111="Leve"),AND(AA111="Muy Alta",AC111="Menor"),AND(AA111="Muy Alta",AC111="Moderado"),AND(AA111="Muy Alta",AC111="Mayor")),"Alto",IF(OR(AND(AA111="Muy Baja",AC111="Catastrófico"),AND(AA111="Baja",AC111="Catastrófico"),AND(AA111="Media",AC111="Catastrófico"),AND(AA111="Alta",AC111="Catastrófico"),AND(AA111="Muy Alta",AC111="Catastrófico")),"Extremo","")))),"")</f>
        <v/>
      </c>
      <c r="AF111" s="116"/>
      <c r="AG111" s="121"/>
      <c r="AH111" s="122"/>
      <c r="AI111" s="123"/>
      <c r="AJ111" s="123"/>
      <c r="AK111" s="121"/>
      <c r="AL111" s="122"/>
    </row>
    <row r="112" spans="1:38" x14ac:dyDescent="0.3">
      <c r="A112" s="209"/>
      <c r="B112" s="139"/>
      <c r="C112" s="139"/>
      <c r="D112" s="210"/>
      <c r="E112" s="200"/>
      <c r="F112" s="141"/>
      <c r="G112" s="210"/>
      <c r="H112" s="140"/>
      <c r="I112" s="211"/>
      <c r="J112" s="207"/>
      <c r="K112" s="206"/>
      <c r="L112" s="205"/>
      <c r="M112" s="206">
        <f ca="1">IF(NOT(ISERROR(MATCH(L112,_xlfn.ANCHORARRAY(E123),0))),K125&amp;"Por favor no seleccionar los criterios de impacto",L112)</f>
        <v>0</v>
      </c>
      <c r="N112" s="207"/>
      <c r="O112" s="206"/>
      <c r="P112" s="208"/>
      <c r="Q112" s="113">
        <v>2</v>
      </c>
      <c r="R112" s="114"/>
      <c r="S112" s="115" t="str">
        <f>IF(OR(T112="Preventivo",T112="Detectivo"),"Probabilidad",IF(T112="Correctivo","Impacto",""))</f>
        <v/>
      </c>
      <c r="T112" s="116"/>
      <c r="U112" s="116"/>
      <c r="V112" s="117" t="str">
        <f t="shared" ref="V112:V116" si="146">IF(AND(T112="Preventivo",U112="Automático"),"50%",IF(AND(T112="Preventivo",U112="Manual"),"40%",IF(AND(T112="Detectivo",U112="Automático"),"40%",IF(AND(T112="Detectivo",U112="Manual"),"30%",IF(AND(T112="Correctivo",U112="Automático"),"35%",IF(AND(T112="Correctivo",U112="Manual"),"25%",""))))))</f>
        <v/>
      </c>
      <c r="W112" s="116"/>
      <c r="X112" s="116"/>
      <c r="Y112" s="116"/>
      <c r="Z112" s="118" t="str">
        <f>IFERROR(IF(AND(S111="Probabilidad",S112="Probabilidad"),(AB111-(+AB111*V112)),IF(S112="Probabilidad",(K111-(+K111*V112)),IF(S112="Impacto",AB111,""))),"")</f>
        <v/>
      </c>
      <c r="AA112" s="119" t="str">
        <f t="shared" ref="AA112:AA116" si="147">IFERROR(IF(Z112="","",IF(Z112&lt;=0.2,"Muy Baja",IF(Z112&lt;=0.4,"Baja",IF(Z112&lt;=0.6,"Media",IF(Z112&lt;=0.8,"Alta","Muy Alta"))))),"")</f>
        <v/>
      </c>
      <c r="AB112" s="117" t="str">
        <f t="shared" ref="AB112:AB116" si="148">+Z112</f>
        <v/>
      </c>
      <c r="AC112" s="119" t="str">
        <f t="shared" ref="AC112:AC116" si="149">IFERROR(IF(AD112="","",IF(AD112&lt;=0.2,"Leve",IF(AD112&lt;=0.4,"Menor",IF(AD112&lt;=0.6,"Moderado",IF(AD112&lt;=0.8,"Mayor","Catastrófico"))))),"")</f>
        <v/>
      </c>
      <c r="AD112" s="117" t="str">
        <f>IFERROR(IF(AND(S111="Impacto",S112="Impacto"),(AD105-(+AD105*V112)),IF(S112="Impacto",($O$51-(+$O$51*V112)),IF(S112="Probabilidad",AD105,""))),"")</f>
        <v/>
      </c>
      <c r="AE112" s="120" t="str">
        <f t="shared" ref="AE112:AE113" si="150">IFERROR(IF(OR(AND(AA112="Muy Baja",AC112="Leve"),AND(AA112="Muy Baja",AC112="Menor"),AND(AA112="Baja",AC112="Leve")),"Bajo",IF(OR(AND(AA112="Muy baja",AC112="Moderado"),AND(AA112="Baja",AC112="Menor"),AND(AA112="Baja",AC112="Moderado"),AND(AA112="Media",AC112="Leve"),AND(AA112="Media",AC112="Menor"),AND(AA112="Media",AC112="Moderado"),AND(AA112="Alta",AC112="Leve"),AND(AA112="Alta",AC112="Menor")),"Moderado",IF(OR(AND(AA112="Muy Baja",AC112="Mayor"),AND(AA112="Baja",AC112="Mayor"),AND(AA112="Media",AC112="Mayor"),AND(AA112="Alta",AC112="Moderado"),AND(AA112="Alta",AC112="Mayor"),AND(AA112="Muy Alta",AC112="Leve"),AND(AA112="Muy Alta",AC112="Menor"),AND(AA112="Muy Alta",AC112="Moderado"),AND(AA112="Muy Alta",AC112="Mayor")),"Alto",IF(OR(AND(AA112="Muy Baja",AC112="Catastrófico"),AND(AA112="Baja",AC112="Catastrófico"),AND(AA112="Media",AC112="Catastrófico"),AND(AA112="Alta",AC112="Catastrófico"),AND(AA112="Muy Alta",AC112="Catastrófico")),"Extremo","")))),"")</f>
        <v/>
      </c>
      <c r="AF112" s="116"/>
      <c r="AG112" s="121"/>
      <c r="AH112" s="122"/>
      <c r="AI112" s="123"/>
      <c r="AJ112" s="123"/>
      <c r="AK112" s="121"/>
      <c r="AL112" s="122"/>
    </row>
    <row r="113" spans="1:38" x14ac:dyDescent="0.3">
      <c r="A113" s="209"/>
      <c r="B113" s="139"/>
      <c r="C113" s="139"/>
      <c r="D113" s="210"/>
      <c r="E113" s="200"/>
      <c r="F113" s="141"/>
      <c r="G113" s="210"/>
      <c r="H113" s="140"/>
      <c r="I113" s="211"/>
      <c r="J113" s="207"/>
      <c r="K113" s="206"/>
      <c r="L113" s="205"/>
      <c r="M113" s="206">
        <f ca="1">IF(NOT(ISERROR(MATCH(L113,_xlfn.ANCHORARRAY(E124),0))),K126&amp;"Por favor no seleccionar los criterios de impacto",L113)</f>
        <v>0</v>
      </c>
      <c r="N113" s="207"/>
      <c r="O113" s="206"/>
      <c r="P113" s="208"/>
      <c r="Q113" s="113">
        <v>3</v>
      </c>
      <c r="R113" s="126"/>
      <c r="S113" s="115" t="str">
        <f>IF(OR(T113="Preventivo",T113="Detectivo"),"Probabilidad",IF(T113="Correctivo","Impacto",""))</f>
        <v/>
      </c>
      <c r="T113" s="116"/>
      <c r="U113" s="116"/>
      <c r="V113" s="117" t="str">
        <f t="shared" si="146"/>
        <v/>
      </c>
      <c r="W113" s="116"/>
      <c r="X113" s="116"/>
      <c r="Y113" s="116"/>
      <c r="Z113" s="118" t="str">
        <f>IFERROR(IF(AND(S112="Probabilidad",S113="Probabilidad"),(AB112-(+AB112*V113)),IF(AND(S112="Impacto",S113="Probabilidad"),(AB111-(+AB111*V113)),IF(S113="Impacto",AB112,""))),"")</f>
        <v/>
      </c>
      <c r="AA113" s="119" t="str">
        <f t="shared" si="147"/>
        <v/>
      </c>
      <c r="AB113" s="117" t="str">
        <f t="shared" si="148"/>
        <v/>
      </c>
      <c r="AC113" s="119" t="str">
        <f t="shared" si="149"/>
        <v/>
      </c>
      <c r="AD113" s="117" t="str">
        <f>IFERROR(IF(AND(S112="Impacto",S113="Impacto"),(AD112-(+AD112*V113)),IF(AND(S112="Probabilidad",S113="Impacto"),(AD111-(+AD111*V113)),IF(S113="Probabilidad",AD112,""))),"")</f>
        <v/>
      </c>
      <c r="AE113" s="120" t="str">
        <f t="shared" si="150"/>
        <v/>
      </c>
      <c r="AF113" s="116"/>
      <c r="AG113" s="121"/>
      <c r="AH113" s="122"/>
      <c r="AI113" s="123"/>
      <c r="AJ113" s="123"/>
      <c r="AK113" s="121"/>
      <c r="AL113" s="122"/>
    </row>
    <row r="114" spans="1:38" x14ac:dyDescent="0.3">
      <c r="A114" s="209"/>
      <c r="B114" s="139"/>
      <c r="C114" s="139"/>
      <c r="D114" s="210"/>
      <c r="E114" s="200"/>
      <c r="F114" s="141"/>
      <c r="G114" s="210"/>
      <c r="H114" s="140"/>
      <c r="I114" s="211"/>
      <c r="J114" s="207"/>
      <c r="K114" s="206"/>
      <c r="L114" s="205"/>
      <c r="M114" s="206">
        <f ca="1">IF(NOT(ISERROR(MATCH(L114,_xlfn.ANCHORARRAY(E125),0))),K127&amp;"Por favor no seleccionar los criterios de impacto",L114)</f>
        <v>0</v>
      </c>
      <c r="N114" s="207"/>
      <c r="O114" s="206"/>
      <c r="P114" s="208"/>
      <c r="Q114" s="113">
        <v>4</v>
      </c>
      <c r="R114" s="114"/>
      <c r="S114" s="115" t="str">
        <f t="shared" ref="S114:S116" si="151">IF(OR(T114="Preventivo",T114="Detectivo"),"Probabilidad",IF(T114="Correctivo","Impacto",""))</f>
        <v/>
      </c>
      <c r="T114" s="116"/>
      <c r="U114" s="116"/>
      <c r="V114" s="117" t="str">
        <f t="shared" si="146"/>
        <v/>
      </c>
      <c r="W114" s="116"/>
      <c r="X114" s="116"/>
      <c r="Y114" s="116"/>
      <c r="Z114" s="118" t="str">
        <f t="shared" ref="Z114:Z116" si="152">IFERROR(IF(AND(S113="Probabilidad",S114="Probabilidad"),(AB113-(+AB113*V114)),IF(AND(S113="Impacto",S114="Probabilidad"),(AB112-(+AB112*V114)),IF(S114="Impacto",AB113,""))),"")</f>
        <v/>
      </c>
      <c r="AA114" s="119" t="str">
        <f t="shared" si="147"/>
        <v/>
      </c>
      <c r="AB114" s="117" t="str">
        <f t="shared" si="148"/>
        <v/>
      </c>
      <c r="AC114" s="119" t="str">
        <f t="shared" si="149"/>
        <v/>
      </c>
      <c r="AD114" s="117" t="str">
        <f t="shared" ref="AD114:AD116" si="153">IFERROR(IF(AND(S113="Impacto",S114="Impacto"),(AD113-(+AD113*V114)),IF(AND(S113="Probabilidad",S114="Impacto"),(AD112-(+AD112*V114)),IF(S114="Probabilidad",AD113,""))),"")</f>
        <v/>
      </c>
      <c r="AE114" s="120" t="str">
        <f>IFERROR(IF(OR(AND(AA114="Muy Baja",AC114="Leve"),AND(AA114="Muy Baja",AC114="Menor"),AND(AA114="Baja",AC114="Leve")),"Bajo",IF(OR(AND(AA114="Muy baja",AC114="Moderado"),AND(AA114="Baja",AC114="Menor"),AND(AA114="Baja",AC114="Moderado"),AND(AA114="Media",AC114="Leve"),AND(AA114="Media",AC114="Menor"),AND(AA114="Media",AC114="Moderado"),AND(AA114="Alta",AC114="Leve"),AND(AA114="Alta",AC114="Menor")),"Moderado",IF(OR(AND(AA114="Muy Baja",AC114="Mayor"),AND(AA114="Baja",AC114="Mayor"),AND(AA114="Media",AC114="Mayor"),AND(AA114="Alta",AC114="Moderado"),AND(AA114="Alta",AC114="Mayor"),AND(AA114="Muy Alta",AC114="Leve"),AND(AA114="Muy Alta",AC114="Menor"),AND(AA114="Muy Alta",AC114="Moderado"),AND(AA114="Muy Alta",AC114="Mayor")),"Alto",IF(OR(AND(AA114="Muy Baja",AC114="Catastrófico"),AND(AA114="Baja",AC114="Catastrófico"),AND(AA114="Media",AC114="Catastrófico"),AND(AA114="Alta",AC114="Catastrófico"),AND(AA114="Muy Alta",AC114="Catastrófico")),"Extremo","")))),"")</f>
        <v/>
      </c>
      <c r="AF114" s="116"/>
      <c r="AG114" s="121"/>
      <c r="AH114" s="122"/>
      <c r="AI114" s="123"/>
      <c r="AJ114" s="123"/>
      <c r="AK114" s="121"/>
      <c r="AL114" s="122"/>
    </row>
    <row r="115" spans="1:38" x14ac:dyDescent="0.3">
      <c r="A115" s="209"/>
      <c r="B115" s="139"/>
      <c r="C115" s="139"/>
      <c r="D115" s="210"/>
      <c r="E115" s="200"/>
      <c r="F115" s="141"/>
      <c r="G115" s="210"/>
      <c r="H115" s="140"/>
      <c r="I115" s="211"/>
      <c r="J115" s="207"/>
      <c r="K115" s="206"/>
      <c r="L115" s="205"/>
      <c r="M115" s="206">
        <f ca="1">IF(NOT(ISERROR(MATCH(L115,_xlfn.ANCHORARRAY(E126),0))),K128&amp;"Por favor no seleccionar los criterios de impacto",L115)</f>
        <v>0</v>
      </c>
      <c r="N115" s="207"/>
      <c r="O115" s="206"/>
      <c r="P115" s="208"/>
      <c r="Q115" s="113">
        <v>5</v>
      </c>
      <c r="R115" s="114"/>
      <c r="S115" s="115" t="str">
        <f t="shared" si="151"/>
        <v/>
      </c>
      <c r="T115" s="116"/>
      <c r="U115" s="116"/>
      <c r="V115" s="117" t="str">
        <f t="shared" si="146"/>
        <v/>
      </c>
      <c r="W115" s="116"/>
      <c r="X115" s="116"/>
      <c r="Y115" s="116"/>
      <c r="Z115" s="118" t="str">
        <f t="shared" si="152"/>
        <v/>
      </c>
      <c r="AA115" s="119" t="str">
        <f t="shared" si="147"/>
        <v/>
      </c>
      <c r="AB115" s="117" t="str">
        <f t="shared" si="148"/>
        <v/>
      </c>
      <c r="AC115" s="119" t="str">
        <f t="shared" si="149"/>
        <v/>
      </c>
      <c r="AD115" s="117" t="str">
        <f t="shared" si="153"/>
        <v/>
      </c>
      <c r="AE115" s="120" t="str">
        <f t="shared" ref="AE115:AE116" si="154">IFERROR(IF(OR(AND(AA115="Muy Baja",AC115="Leve"),AND(AA115="Muy Baja",AC115="Menor"),AND(AA115="Baja",AC115="Leve")),"Bajo",IF(OR(AND(AA115="Muy baja",AC115="Moderado"),AND(AA115="Baja",AC115="Menor"),AND(AA115="Baja",AC115="Moderado"),AND(AA115="Media",AC115="Leve"),AND(AA115="Media",AC115="Menor"),AND(AA115="Media",AC115="Moderado"),AND(AA115="Alta",AC115="Leve"),AND(AA115="Alta",AC115="Menor")),"Moderado",IF(OR(AND(AA115="Muy Baja",AC115="Mayor"),AND(AA115="Baja",AC115="Mayor"),AND(AA115="Media",AC115="Mayor"),AND(AA115="Alta",AC115="Moderado"),AND(AA115="Alta",AC115="Mayor"),AND(AA115="Muy Alta",AC115="Leve"),AND(AA115="Muy Alta",AC115="Menor"),AND(AA115="Muy Alta",AC115="Moderado"),AND(AA115="Muy Alta",AC115="Mayor")),"Alto",IF(OR(AND(AA115="Muy Baja",AC115="Catastrófico"),AND(AA115="Baja",AC115="Catastrófico"),AND(AA115="Media",AC115="Catastrófico"),AND(AA115="Alta",AC115="Catastrófico"),AND(AA115="Muy Alta",AC115="Catastrófico")),"Extremo","")))),"")</f>
        <v/>
      </c>
      <c r="AF115" s="116"/>
      <c r="AG115" s="121"/>
      <c r="AH115" s="122"/>
      <c r="AI115" s="123"/>
      <c r="AJ115" s="123"/>
      <c r="AK115" s="121"/>
      <c r="AL115" s="122"/>
    </row>
    <row r="116" spans="1:38" x14ac:dyDescent="0.3">
      <c r="A116" s="209"/>
      <c r="B116" s="139"/>
      <c r="C116" s="139"/>
      <c r="D116" s="210"/>
      <c r="E116" s="200"/>
      <c r="F116" s="141"/>
      <c r="G116" s="210"/>
      <c r="H116" s="140"/>
      <c r="I116" s="211"/>
      <c r="J116" s="207"/>
      <c r="K116" s="206"/>
      <c r="L116" s="205"/>
      <c r="M116" s="206">
        <f ca="1">IF(NOT(ISERROR(MATCH(L116,_xlfn.ANCHORARRAY(E127),0))),K130&amp;"Por favor no seleccionar los criterios de impacto",L116)</f>
        <v>0</v>
      </c>
      <c r="N116" s="207"/>
      <c r="O116" s="206"/>
      <c r="P116" s="208"/>
      <c r="Q116" s="113">
        <v>6</v>
      </c>
      <c r="R116" s="114"/>
      <c r="S116" s="115" t="str">
        <f t="shared" si="151"/>
        <v/>
      </c>
      <c r="T116" s="116"/>
      <c r="U116" s="116"/>
      <c r="V116" s="117" t="str">
        <f t="shared" si="146"/>
        <v/>
      </c>
      <c r="W116" s="116"/>
      <c r="X116" s="116"/>
      <c r="Y116" s="116"/>
      <c r="Z116" s="118" t="str">
        <f t="shared" si="152"/>
        <v/>
      </c>
      <c r="AA116" s="119" t="str">
        <f t="shared" si="147"/>
        <v/>
      </c>
      <c r="AB116" s="117" t="str">
        <f t="shared" si="148"/>
        <v/>
      </c>
      <c r="AC116" s="119" t="str">
        <f t="shared" si="149"/>
        <v/>
      </c>
      <c r="AD116" s="117" t="str">
        <f t="shared" si="153"/>
        <v/>
      </c>
      <c r="AE116" s="120" t="str">
        <f t="shared" si="154"/>
        <v/>
      </c>
      <c r="AF116" s="116"/>
      <c r="AG116" s="121"/>
      <c r="AH116" s="122"/>
      <c r="AI116" s="123"/>
      <c r="AJ116" s="123"/>
      <c r="AK116" s="121"/>
      <c r="AL116" s="122"/>
    </row>
    <row r="117" spans="1:38" x14ac:dyDescent="0.3">
      <c r="A117" s="209">
        <v>9</v>
      </c>
      <c r="B117" s="139"/>
      <c r="C117" s="139"/>
      <c r="D117" s="210"/>
      <c r="E117" s="200"/>
      <c r="F117" s="141"/>
      <c r="G117" s="210"/>
      <c r="H117" s="140"/>
      <c r="I117" s="211"/>
      <c r="J117" s="207" t="str">
        <f>IF(I117&lt;=0,"",IF(I117&lt;=2,"Muy Baja",IF(I117&lt;=24,"Baja",IF(I117&lt;=500,"Media",IF(I117&lt;=5000,"Alta","Muy Alta")))))</f>
        <v/>
      </c>
      <c r="K117" s="206" t="str">
        <f>IF(J117="","",IF(J117="Muy Baja",0.2,IF(J117="Baja",0.4,IF(J117="Media",0.6,IF(J117="Alta",0.8,IF(J117="Muy Alta",1,))))))</f>
        <v/>
      </c>
      <c r="L117" s="205"/>
      <c r="M117" s="206">
        <f ca="1">IF(NOT(ISERROR(MATCH(L117,'Tabla Impacto'!$B$221:$B$223,0))),'Tabla Impacto'!$F$223&amp;"Por favor no seleccionar los criterios de impacto(Afectación Económica o presupuestal y Pérdida Reputacional)",L117)</f>
        <v>0</v>
      </c>
      <c r="N117" s="207" t="str">
        <f ca="1">IF(OR(M117='Tabla Impacto'!$C$11,M117='Tabla Impacto'!$D$11),"Leve",IF(OR(M117='Tabla Impacto'!$C$12,M117='Tabla Impacto'!$D$12),"Menor",IF(OR(M117='Tabla Impacto'!$C$13,M117='Tabla Impacto'!$D$13),"Moderado",IF(OR(M117='Tabla Impacto'!$C$14,M117='Tabla Impacto'!$D$14),"Mayor",IF(OR(M117='Tabla Impacto'!$C$15,M117='Tabla Impacto'!$D$15),"Catastrófico","")))))</f>
        <v/>
      </c>
      <c r="O117" s="206" t="str">
        <f ca="1">IF(N117="","",IF(N117="Leve",0.2,IF(N117="Menor",0.4,IF(N117="Moderado",0.6,IF(N117="Mayor",0.8,IF(N117="Catastrófico",1,))))))</f>
        <v/>
      </c>
      <c r="P117" s="208" t="str">
        <f ca="1">IF(OR(AND(J117="Muy Baja",N117="Leve"),AND(J117="Muy Baja",N117="Menor"),AND(J117="Baja",N117="Leve")),"Bajo",IF(OR(AND(J117="Muy baja",N117="Moderado"),AND(J117="Baja",N117="Menor"),AND(J117="Baja",N117="Moderado"),AND(J117="Media",N117="Leve"),AND(J117="Media",N117="Menor"),AND(J117="Media",N117="Moderado"),AND(J117="Alta",N117="Leve"),AND(J117="Alta",N117="Menor")),"Moderado",IF(OR(AND(J117="Muy Baja",N117="Mayor"),AND(J117="Baja",N117="Mayor"),AND(J117="Media",N117="Mayor"),AND(J117="Alta",N117="Moderado"),AND(J117="Alta",N117="Mayor"),AND(J117="Muy Alta",N117="Leve"),AND(J117="Muy Alta",N117="Menor"),AND(J117="Muy Alta",N117="Moderado"),AND(J117="Muy Alta",N117="Mayor")),"Alto",IF(OR(AND(J117="Muy Baja",N117="Catastrófico"),AND(J117="Baja",N117="Catastrófico"),AND(J117="Media",N117="Catastrófico"),AND(J117="Alta",N117="Catastrófico"),AND(J117="Muy Alta",N117="Catastrófico")),"Extremo",""))))</f>
        <v/>
      </c>
      <c r="Q117" s="113">
        <v>1</v>
      </c>
      <c r="R117" s="114"/>
      <c r="S117" s="115" t="str">
        <f>IF(OR(T117="Preventivo",T117="Detectivo"),"Probabilidad",IF(T117="Correctivo","Impacto",""))</f>
        <v/>
      </c>
      <c r="T117" s="116"/>
      <c r="U117" s="116"/>
      <c r="V117" s="117" t="str">
        <f>IF(AND(T117="Preventivo",U117="Automático"),"50%",IF(AND(T117="Preventivo",U117="Manual"),"40%",IF(AND(T117="Detectivo",U117="Automático"),"40%",IF(AND(T117="Detectivo",U117="Manual"),"30%",IF(AND(T117="Correctivo",U117="Automático"),"35%",IF(AND(T117="Correctivo",U117="Manual"),"25%",""))))))</f>
        <v/>
      </c>
      <c r="W117" s="116"/>
      <c r="X117" s="116"/>
      <c r="Y117" s="116"/>
      <c r="Z117" s="118" t="str">
        <f>IFERROR(IF(S117="Probabilidad",(K117-(+K117*V117)),IF(S117="Impacto",K117,"")),"")</f>
        <v/>
      </c>
      <c r="AA117" s="119" t="str">
        <f>IFERROR(IF(Z117="","",IF(Z117&lt;=0.2,"Muy Baja",IF(Z117&lt;=0.4,"Baja",IF(Z117&lt;=0.6,"Media",IF(Z117&lt;=0.8,"Alta","Muy Alta"))))),"")</f>
        <v/>
      </c>
      <c r="AB117" s="117" t="str">
        <f>+Z117</f>
        <v/>
      </c>
      <c r="AC117" s="119" t="str">
        <f>IFERROR(IF(AD117="","",IF(AD117&lt;=0.2,"Leve",IF(AD117&lt;=0.4,"Menor",IF(AD117&lt;=0.6,"Moderado",IF(AD117&lt;=0.8,"Mayor","Catastrófico"))))),"")</f>
        <v/>
      </c>
      <c r="AD117" s="117" t="str">
        <f>IFERROR(IF(S117="Impacto",(O117-(+O117*V117)),IF(S117="Probabilidad",O117,"")),"")</f>
        <v/>
      </c>
      <c r="AE117" s="120" t="str">
        <f>IFERROR(IF(OR(AND(AA117="Muy Baja",AC117="Leve"),AND(AA117="Muy Baja",AC117="Menor"),AND(AA117="Baja",AC117="Leve")),"Bajo",IF(OR(AND(AA117="Muy baja",AC117="Moderado"),AND(AA117="Baja",AC117="Menor"),AND(AA117="Baja",AC117="Moderado"),AND(AA117="Media",AC117="Leve"),AND(AA117="Media",AC117="Menor"),AND(AA117="Media",AC117="Moderado"),AND(AA117="Alta",AC117="Leve"),AND(AA117="Alta",AC117="Menor")),"Moderado",IF(OR(AND(AA117="Muy Baja",AC117="Mayor"),AND(AA117="Baja",AC117="Mayor"),AND(AA117="Media",AC117="Mayor"),AND(AA117="Alta",AC117="Moderado"),AND(AA117="Alta",AC117="Mayor"),AND(AA117="Muy Alta",AC117="Leve"),AND(AA117="Muy Alta",AC117="Menor"),AND(AA117="Muy Alta",AC117="Moderado"),AND(AA117="Muy Alta",AC117="Mayor")),"Alto",IF(OR(AND(AA117="Muy Baja",AC117="Catastrófico"),AND(AA117="Baja",AC117="Catastrófico"),AND(AA117="Media",AC117="Catastrófico"),AND(AA117="Alta",AC117="Catastrófico"),AND(AA117="Muy Alta",AC117="Catastrófico")),"Extremo","")))),"")</f>
        <v/>
      </c>
      <c r="AF117" s="116"/>
      <c r="AG117" s="121"/>
      <c r="AH117" s="122"/>
      <c r="AI117" s="123"/>
      <c r="AJ117" s="123"/>
      <c r="AK117" s="121"/>
      <c r="AL117" s="122"/>
    </row>
    <row r="118" spans="1:38" x14ac:dyDescent="0.3">
      <c r="A118" s="209"/>
      <c r="B118" s="139"/>
      <c r="C118" s="139"/>
      <c r="D118" s="210"/>
      <c r="E118" s="200"/>
      <c r="F118" s="141"/>
      <c r="G118" s="210"/>
      <c r="H118" s="140"/>
      <c r="I118" s="211"/>
      <c r="J118" s="207"/>
      <c r="K118" s="206"/>
      <c r="L118" s="205"/>
      <c r="M118" s="206">
        <f ca="1">IF(NOT(ISERROR(MATCH(L118,_xlfn.ANCHORARRAY(E130),0))),K132&amp;"Por favor no seleccionar los criterios de impacto",L118)</f>
        <v>0</v>
      </c>
      <c r="N118" s="207"/>
      <c r="O118" s="206"/>
      <c r="P118" s="208"/>
      <c r="Q118" s="113">
        <v>2</v>
      </c>
      <c r="R118" s="114"/>
      <c r="S118" s="115" t="str">
        <f>IF(OR(T118="Preventivo",T118="Detectivo"),"Probabilidad",IF(T118="Correctivo","Impacto",""))</f>
        <v/>
      </c>
      <c r="T118" s="116"/>
      <c r="U118" s="116"/>
      <c r="V118" s="117" t="str">
        <f t="shared" ref="V118:V122" si="155">IF(AND(T118="Preventivo",U118="Automático"),"50%",IF(AND(T118="Preventivo",U118="Manual"),"40%",IF(AND(T118="Detectivo",U118="Automático"),"40%",IF(AND(T118="Detectivo",U118="Manual"),"30%",IF(AND(T118="Correctivo",U118="Automático"),"35%",IF(AND(T118="Correctivo",U118="Manual"),"25%",""))))))</f>
        <v/>
      </c>
      <c r="W118" s="116"/>
      <c r="X118" s="116"/>
      <c r="Y118" s="116"/>
      <c r="Z118" s="118" t="str">
        <f>IFERROR(IF(AND(S117="Probabilidad",S118="Probabilidad"),(AB117-(+AB117*V118)),IF(S118="Probabilidad",(K117-(+K117*V118)),IF(S118="Impacto",AB117,""))),"")</f>
        <v/>
      </c>
      <c r="AA118" s="119" t="str">
        <f t="shared" ref="AA118:AA122" si="156">IFERROR(IF(Z118="","",IF(Z118&lt;=0.2,"Muy Baja",IF(Z118&lt;=0.4,"Baja",IF(Z118&lt;=0.6,"Media",IF(Z118&lt;=0.8,"Alta","Muy Alta"))))),"")</f>
        <v/>
      </c>
      <c r="AB118" s="117" t="str">
        <f t="shared" ref="AB118:AB122" si="157">+Z118</f>
        <v/>
      </c>
      <c r="AC118" s="119" t="str">
        <f t="shared" ref="AC118:AC122" si="158">IFERROR(IF(AD118="","",IF(AD118&lt;=0.2,"Leve",IF(AD118&lt;=0.4,"Menor",IF(AD118&lt;=0.6,"Moderado",IF(AD118&lt;=0.8,"Mayor","Catastrófico"))))),"")</f>
        <v/>
      </c>
      <c r="AD118" s="117" t="str">
        <f>IFERROR(IF(AND(S117="Impacto",S118="Impacto"),(AD111-(+AD111*V118)),IF(S118="Impacto",($O$57-(+$O$57*V118)),IF(S118="Probabilidad",AD111,""))),"")</f>
        <v/>
      </c>
      <c r="AE118" s="120" t="str">
        <f t="shared" ref="AE118:AE119" si="159">IFERROR(IF(OR(AND(AA118="Muy Baja",AC118="Leve"),AND(AA118="Muy Baja",AC118="Menor"),AND(AA118="Baja",AC118="Leve")),"Bajo",IF(OR(AND(AA118="Muy baja",AC118="Moderado"),AND(AA118="Baja",AC118="Menor"),AND(AA118="Baja",AC118="Moderado"),AND(AA118="Media",AC118="Leve"),AND(AA118="Media",AC118="Menor"),AND(AA118="Media",AC118="Moderado"),AND(AA118="Alta",AC118="Leve"),AND(AA118="Alta",AC118="Menor")),"Moderado",IF(OR(AND(AA118="Muy Baja",AC118="Mayor"),AND(AA118="Baja",AC118="Mayor"),AND(AA118="Media",AC118="Mayor"),AND(AA118="Alta",AC118="Moderado"),AND(AA118="Alta",AC118="Mayor"),AND(AA118="Muy Alta",AC118="Leve"),AND(AA118="Muy Alta",AC118="Menor"),AND(AA118="Muy Alta",AC118="Moderado"),AND(AA118="Muy Alta",AC118="Mayor")),"Alto",IF(OR(AND(AA118="Muy Baja",AC118="Catastrófico"),AND(AA118="Baja",AC118="Catastrófico"),AND(AA118="Media",AC118="Catastrófico"),AND(AA118="Alta",AC118="Catastrófico"),AND(AA118="Muy Alta",AC118="Catastrófico")),"Extremo","")))),"")</f>
        <v/>
      </c>
      <c r="AF118" s="116"/>
      <c r="AG118" s="121"/>
      <c r="AH118" s="122"/>
      <c r="AI118" s="123"/>
      <c r="AJ118" s="123"/>
      <c r="AK118" s="121"/>
      <c r="AL118" s="122"/>
    </row>
    <row r="119" spans="1:38" x14ac:dyDescent="0.3">
      <c r="A119" s="209"/>
      <c r="B119" s="139"/>
      <c r="C119" s="139"/>
      <c r="D119" s="210"/>
      <c r="E119" s="200"/>
      <c r="F119" s="141"/>
      <c r="G119" s="210"/>
      <c r="H119" s="140"/>
      <c r="I119" s="211"/>
      <c r="J119" s="207"/>
      <c r="K119" s="206"/>
      <c r="L119" s="205"/>
      <c r="M119" s="206">
        <f ca="1">IF(NOT(ISERROR(MATCH(L119,_xlfn.ANCHORARRAY(E131),0))),K133&amp;"Por favor no seleccionar los criterios de impacto",L119)</f>
        <v>0</v>
      </c>
      <c r="N119" s="207"/>
      <c r="O119" s="206"/>
      <c r="P119" s="208"/>
      <c r="Q119" s="113">
        <v>3</v>
      </c>
      <c r="R119" s="126"/>
      <c r="S119" s="115" t="str">
        <f>IF(OR(T119="Preventivo",T119="Detectivo"),"Probabilidad",IF(T119="Correctivo","Impacto",""))</f>
        <v/>
      </c>
      <c r="T119" s="116"/>
      <c r="U119" s="116"/>
      <c r="V119" s="117" t="str">
        <f t="shared" si="155"/>
        <v/>
      </c>
      <c r="W119" s="116"/>
      <c r="X119" s="116"/>
      <c r="Y119" s="116"/>
      <c r="Z119" s="118" t="str">
        <f>IFERROR(IF(AND(S118="Probabilidad",S119="Probabilidad"),(AB118-(+AB118*V119)),IF(AND(S118="Impacto",S119="Probabilidad"),(AB117-(+AB117*V119)),IF(S119="Impacto",AB118,""))),"")</f>
        <v/>
      </c>
      <c r="AA119" s="119" t="str">
        <f t="shared" si="156"/>
        <v/>
      </c>
      <c r="AB119" s="117" t="str">
        <f t="shared" si="157"/>
        <v/>
      </c>
      <c r="AC119" s="119" t="str">
        <f t="shared" si="158"/>
        <v/>
      </c>
      <c r="AD119" s="117" t="str">
        <f>IFERROR(IF(AND(S118="Impacto",S119="Impacto"),(AD118-(+AD118*V119)),IF(AND(S118="Probabilidad",S119="Impacto"),(AD117-(+AD117*V119)),IF(S119="Probabilidad",AD118,""))),"")</f>
        <v/>
      </c>
      <c r="AE119" s="120" t="str">
        <f t="shared" si="159"/>
        <v/>
      </c>
      <c r="AF119" s="116"/>
      <c r="AG119" s="121"/>
      <c r="AH119" s="122"/>
      <c r="AI119" s="123"/>
      <c r="AJ119" s="123"/>
      <c r="AK119" s="121"/>
      <c r="AL119" s="122"/>
    </row>
    <row r="120" spans="1:38" x14ac:dyDescent="0.3">
      <c r="A120" s="209"/>
      <c r="B120" s="139"/>
      <c r="C120" s="139"/>
      <c r="D120" s="210"/>
      <c r="E120" s="200"/>
      <c r="F120" s="141"/>
      <c r="G120" s="210"/>
      <c r="H120" s="140"/>
      <c r="I120" s="211"/>
      <c r="J120" s="207"/>
      <c r="K120" s="206"/>
      <c r="L120" s="205"/>
      <c r="M120" s="206">
        <f ca="1">IF(NOT(ISERROR(MATCH(L120,_xlfn.ANCHORARRAY(E132),0))),K134&amp;"Por favor no seleccionar los criterios de impacto",L120)</f>
        <v>0</v>
      </c>
      <c r="N120" s="207"/>
      <c r="O120" s="206"/>
      <c r="P120" s="208"/>
      <c r="Q120" s="113">
        <v>4</v>
      </c>
      <c r="R120" s="114"/>
      <c r="S120" s="115" t="str">
        <f t="shared" ref="S120:S122" si="160">IF(OR(T120="Preventivo",T120="Detectivo"),"Probabilidad",IF(T120="Correctivo","Impacto",""))</f>
        <v/>
      </c>
      <c r="T120" s="116"/>
      <c r="U120" s="116"/>
      <c r="V120" s="117" t="str">
        <f t="shared" si="155"/>
        <v/>
      </c>
      <c r="W120" s="116"/>
      <c r="X120" s="116"/>
      <c r="Y120" s="116"/>
      <c r="Z120" s="118" t="str">
        <f t="shared" ref="Z120:Z122" si="161">IFERROR(IF(AND(S119="Probabilidad",S120="Probabilidad"),(AB119-(+AB119*V120)),IF(AND(S119="Impacto",S120="Probabilidad"),(AB118-(+AB118*V120)),IF(S120="Impacto",AB119,""))),"")</f>
        <v/>
      </c>
      <c r="AA120" s="119" t="str">
        <f t="shared" si="156"/>
        <v/>
      </c>
      <c r="AB120" s="117" t="str">
        <f t="shared" si="157"/>
        <v/>
      </c>
      <c r="AC120" s="119" t="str">
        <f t="shared" si="158"/>
        <v/>
      </c>
      <c r="AD120" s="117" t="str">
        <f t="shared" ref="AD120:AD122" si="162">IFERROR(IF(AND(S119="Impacto",S120="Impacto"),(AD119-(+AD119*V120)),IF(AND(S119="Probabilidad",S120="Impacto"),(AD118-(+AD118*V120)),IF(S120="Probabilidad",AD119,""))),"")</f>
        <v/>
      </c>
      <c r="AE120" s="120" t="str">
        <f>IFERROR(IF(OR(AND(AA120="Muy Baja",AC120="Leve"),AND(AA120="Muy Baja",AC120="Menor"),AND(AA120="Baja",AC120="Leve")),"Bajo",IF(OR(AND(AA120="Muy baja",AC120="Moderado"),AND(AA120="Baja",AC120="Menor"),AND(AA120="Baja",AC120="Moderado"),AND(AA120="Media",AC120="Leve"),AND(AA120="Media",AC120="Menor"),AND(AA120="Media",AC120="Moderado"),AND(AA120="Alta",AC120="Leve"),AND(AA120="Alta",AC120="Menor")),"Moderado",IF(OR(AND(AA120="Muy Baja",AC120="Mayor"),AND(AA120="Baja",AC120="Mayor"),AND(AA120="Media",AC120="Mayor"),AND(AA120="Alta",AC120="Moderado"),AND(AA120="Alta",AC120="Mayor"),AND(AA120="Muy Alta",AC120="Leve"),AND(AA120="Muy Alta",AC120="Menor"),AND(AA120="Muy Alta",AC120="Moderado"),AND(AA120="Muy Alta",AC120="Mayor")),"Alto",IF(OR(AND(AA120="Muy Baja",AC120="Catastrófico"),AND(AA120="Baja",AC120="Catastrófico"),AND(AA120="Media",AC120="Catastrófico"),AND(AA120="Alta",AC120="Catastrófico"),AND(AA120="Muy Alta",AC120="Catastrófico")),"Extremo","")))),"")</f>
        <v/>
      </c>
      <c r="AF120" s="116"/>
      <c r="AG120" s="121"/>
      <c r="AH120" s="122"/>
      <c r="AI120" s="123"/>
      <c r="AJ120" s="123"/>
      <c r="AK120" s="121"/>
      <c r="AL120" s="122"/>
    </row>
    <row r="121" spans="1:38" x14ac:dyDescent="0.3">
      <c r="A121" s="209"/>
      <c r="B121" s="139"/>
      <c r="C121" s="139"/>
      <c r="D121" s="210"/>
      <c r="E121" s="200"/>
      <c r="F121" s="141"/>
      <c r="G121" s="210"/>
      <c r="H121" s="140"/>
      <c r="I121" s="211"/>
      <c r="J121" s="207"/>
      <c r="K121" s="206"/>
      <c r="L121" s="205"/>
      <c r="M121" s="206">
        <f ca="1">IF(NOT(ISERROR(MATCH(L121,_xlfn.ANCHORARRAY(E133),0))),K135&amp;"Por favor no seleccionar los criterios de impacto",L121)</f>
        <v>0</v>
      </c>
      <c r="N121" s="207"/>
      <c r="O121" s="206"/>
      <c r="P121" s="208"/>
      <c r="Q121" s="113">
        <v>5</v>
      </c>
      <c r="R121" s="114"/>
      <c r="S121" s="115" t="str">
        <f t="shared" si="160"/>
        <v/>
      </c>
      <c r="T121" s="116"/>
      <c r="U121" s="116"/>
      <c r="V121" s="117" t="str">
        <f t="shared" si="155"/>
        <v/>
      </c>
      <c r="W121" s="116"/>
      <c r="X121" s="116"/>
      <c r="Y121" s="116"/>
      <c r="Z121" s="118" t="str">
        <f t="shared" si="161"/>
        <v/>
      </c>
      <c r="AA121" s="119" t="str">
        <f t="shared" si="156"/>
        <v/>
      </c>
      <c r="AB121" s="117" t="str">
        <f t="shared" si="157"/>
        <v/>
      </c>
      <c r="AC121" s="119" t="str">
        <f t="shared" si="158"/>
        <v/>
      </c>
      <c r="AD121" s="117" t="str">
        <f t="shared" si="162"/>
        <v/>
      </c>
      <c r="AE121" s="120" t="str">
        <f t="shared" ref="AE121:AE122" si="163">IFERROR(IF(OR(AND(AA121="Muy Baja",AC121="Leve"),AND(AA121="Muy Baja",AC121="Menor"),AND(AA121="Baja",AC121="Leve")),"Bajo",IF(OR(AND(AA121="Muy baja",AC121="Moderado"),AND(AA121="Baja",AC121="Menor"),AND(AA121="Baja",AC121="Moderado"),AND(AA121="Media",AC121="Leve"),AND(AA121="Media",AC121="Menor"),AND(AA121="Media",AC121="Moderado"),AND(AA121="Alta",AC121="Leve"),AND(AA121="Alta",AC121="Menor")),"Moderado",IF(OR(AND(AA121="Muy Baja",AC121="Mayor"),AND(AA121="Baja",AC121="Mayor"),AND(AA121="Media",AC121="Mayor"),AND(AA121="Alta",AC121="Moderado"),AND(AA121="Alta",AC121="Mayor"),AND(AA121="Muy Alta",AC121="Leve"),AND(AA121="Muy Alta",AC121="Menor"),AND(AA121="Muy Alta",AC121="Moderado"),AND(AA121="Muy Alta",AC121="Mayor")),"Alto",IF(OR(AND(AA121="Muy Baja",AC121="Catastrófico"),AND(AA121="Baja",AC121="Catastrófico"),AND(AA121="Media",AC121="Catastrófico"),AND(AA121="Alta",AC121="Catastrófico"),AND(AA121="Muy Alta",AC121="Catastrófico")),"Extremo","")))),"")</f>
        <v/>
      </c>
      <c r="AF121" s="116"/>
      <c r="AG121" s="121"/>
      <c r="AH121" s="122"/>
      <c r="AI121" s="123"/>
      <c r="AJ121" s="123"/>
      <c r="AK121" s="121"/>
      <c r="AL121" s="122"/>
    </row>
    <row r="122" spans="1:38" x14ac:dyDescent="0.3">
      <c r="A122" s="209"/>
      <c r="B122" s="139"/>
      <c r="C122" s="139"/>
      <c r="D122" s="210"/>
      <c r="E122" s="200"/>
      <c r="F122" s="141"/>
      <c r="G122" s="210"/>
      <c r="H122" s="140"/>
      <c r="I122" s="211"/>
      <c r="J122" s="207"/>
      <c r="K122" s="206"/>
      <c r="L122" s="205"/>
      <c r="M122" s="206">
        <f ca="1">IF(NOT(ISERROR(MATCH(L122,_xlfn.ANCHORARRAY(E134),0))),K136&amp;"Por favor no seleccionar los criterios de impacto",L122)</f>
        <v>0</v>
      </c>
      <c r="N122" s="207"/>
      <c r="O122" s="206"/>
      <c r="P122" s="208"/>
      <c r="Q122" s="113">
        <v>6</v>
      </c>
      <c r="R122" s="114"/>
      <c r="S122" s="115" t="str">
        <f t="shared" si="160"/>
        <v/>
      </c>
      <c r="T122" s="116"/>
      <c r="U122" s="116"/>
      <c r="V122" s="117" t="str">
        <f t="shared" si="155"/>
        <v/>
      </c>
      <c r="W122" s="116"/>
      <c r="X122" s="116"/>
      <c r="Y122" s="116"/>
      <c r="Z122" s="118" t="str">
        <f t="shared" si="161"/>
        <v/>
      </c>
      <c r="AA122" s="119" t="str">
        <f t="shared" si="156"/>
        <v/>
      </c>
      <c r="AB122" s="117" t="str">
        <f t="shared" si="157"/>
        <v/>
      </c>
      <c r="AC122" s="119" t="str">
        <f t="shared" si="158"/>
        <v/>
      </c>
      <c r="AD122" s="117" t="str">
        <f t="shared" si="162"/>
        <v/>
      </c>
      <c r="AE122" s="120" t="str">
        <f t="shared" si="163"/>
        <v/>
      </c>
      <c r="AF122" s="116"/>
      <c r="AG122" s="121"/>
      <c r="AH122" s="122"/>
      <c r="AI122" s="123"/>
      <c r="AJ122" s="123"/>
      <c r="AK122" s="121"/>
      <c r="AL122" s="122"/>
    </row>
    <row r="123" spans="1:38" x14ac:dyDescent="0.3">
      <c r="A123" s="209">
        <v>10</v>
      </c>
      <c r="B123" s="139"/>
      <c r="C123" s="139"/>
      <c r="D123" s="210"/>
      <c r="E123" s="200"/>
      <c r="F123" s="141"/>
      <c r="G123" s="210"/>
      <c r="H123" s="140"/>
      <c r="I123" s="211"/>
      <c r="J123" s="207" t="str">
        <f>IF(I123&lt;=0,"",IF(I123&lt;=2,"Muy Baja",IF(I123&lt;=24,"Baja",IF(I123&lt;=500,"Media",IF(I123&lt;=5000,"Alta","Muy Alta")))))</f>
        <v/>
      </c>
      <c r="K123" s="206" t="str">
        <f>IF(J123="","",IF(J123="Muy Baja",0.2,IF(J123="Baja",0.4,IF(J123="Media",0.6,IF(J123="Alta",0.8,IF(J123="Muy Alta",1,))))))</f>
        <v/>
      </c>
      <c r="L123" s="205"/>
      <c r="M123" s="206">
        <f ca="1">IF(NOT(ISERROR(MATCH(L123,'Tabla Impacto'!$B$221:$B$223,0))),'Tabla Impacto'!$F$223&amp;"Por favor no seleccionar los criterios de impacto(Afectación Económica o presupuestal y Pérdida Reputacional)",L123)</f>
        <v>0</v>
      </c>
      <c r="N123" s="207" t="str">
        <f ca="1">IF(OR(M123='Tabla Impacto'!$C$11,M123='Tabla Impacto'!$D$11),"Leve",IF(OR(M123='Tabla Impacto'!$C$12,M123='Tabla Impacto'!$D$12),"Menor",IF(OR(M123='Tabla Impacto'!$C$13,M123='Tabla Impacto'!$D$13),"Moderado",IF(OR(M123='Tabla Impacto'!$C$14,M123='Tabla Impacto'!$D$14),"Mayor",IF(OR(M123='Tabla Impacto'!$C$15,M123='Tabla Impacto'!$D$15),"Catastrófico","")))))</f>
        <v/>
      </c>
      <c r="O123" s="206" t="str">
        <f ca="1">IF(N123="","",IF(N123="Leve",0.2,IF(N123="Menor",0.4,IF(N123="Moderado",0.6,IF(N123="Mayor",0.8,IF(N123="Catastrófico",1,))))))</f>
        <v/>
      </c>
      <c r="P123" s="208" t="str">
        <f ca="1">IF(OR(AND(J123="Muy Baja",N123="Leve"),AND(J123="Muy Baja",N123="Menor"),AND(J123="Baja",N123="Leve")),"Bajo",IF(OR(AND(J123="Muy baja",N123="Moderado"),AND(J123="Baja",N123="Menor"),AND(J123="Baja",N123="Moderado"),AND(J123="Media",N123="Leve"),AND(J123="Media",N123="Menor"),AND(J123="Media",N123="Moderado"),AND(J123="Alta",N123="Leve"),AND(J123="Alta",N123="Menor")),"Moderado",IF(OR(AND(J123="Muy Baja",N123="Mayor"),AND(J123="Baja",N123="Mayor"),AND(J123="Media",N123="Mayor"),AND(J123="Alta",N123="Moderado"),AND(J123="Alta",N123="Mayor"),AND(J123="Muy Alta",N123="Leve"),AND(J123="Muy Alta",N123="Menor"),AND(J123="Muy Alta",N123="Moderado"),AND(J123="Muy Alta",N123="Mayor")),"Alto",IF(OR(AND(J123="Muy Baja",N123="Catastrófico"),AND(J123="Baja",N123="Catastrófico"),AND(J123="Media",N123="Catastrófico"),AND(J123="Alta",N123="Catastrófico"),AND(J123="Muy Alta",N123="Catastrófico")),"Extremo",""))))</f>
        <v/>
      </c>
      <c r="Q123" s="113">
        <v>1</v>
      </c>
      <c r="R123" s="114"/>
      <c r="S123" s="115" t="str">
        <f>IF(OR(T123="Preventivo",T123="Detectivo"),"Probabilidad",IF(T123="Correctivo","Impacto",""))</f>
        <v/>
      </c>
      <c r="T123" s="116"/>
      <c r="U123" s="116"/>
      <c r="V123" s="117" t="str">
        <f>IF(AND(T123="Preventivo",U123="Automático"),"50%",IF(AND(T123="Preventivo",U123="Manual"),"40%",IF(AND(T123="Detectivo",U123="Automático"),"40%",IF(AND(T123="Detectivo",U123="Manual"),"30%",IF(AND(T123="Correctivo",U123="Automático"),"35%",IF(AND(T123="Correctivo",U123="Manual"),"25%",""))))))</f>
        <v/>
      </c>
      <c r="W123" s="116"/>
      <c r="X123" s="116"/>
      <c r="Y123" s="116"/>
      <c r="Z123" s="118" t="str">
        <f>IFERROR(IF(S123="Probabilidad",(K123-(+K123*V123)),IF(S123="Impacto",K123,"")),"")</f>
        <v/>
      </c>
      <c r="AA123" s="119" t="str">
        <f>IFERROR(IF(Z123="","",IF(Z123&lt;=0.2,"Muy Baja",IF(Z123&lt;=0.4,"Baja",IF(Z123&lt;=0.6,"Media",IF(Z123&lt;=0.8,"Alta","Muy Alta"))))),"")</f>
        <v/>
      </c>
      <c r="AB123" s="117" t="str">
        <f>+Z123</f>
        <v/>
      </c>
      <c r="AC123" s="119" t="str">
        <f>IFERROR(IF(AD123="","",IF(AD123&lt;=0.2,"Leve",IF(AD123&lt;=0.4,"Menor",IF(AD123&lt;=0.6,"Moderado",IF(AD123&lt;=0.8,"Mayor","Catastrófico"))))),"")</f>
        <v/>
      </c>
      <c r="AD123" s="117" t="str">
        <f>IFERROR(IF(S123="Impacto",(O123-(+O123*V123)),IF(S123="Probabilidad",O123,"")),"")</f>
        <v/>
      </c>
      <c r="AE123" s="120" t="str">
        <f>IFERROR(IF(OR(AND(AA123="Muy Baja",AC123="Leve"),AND(AA123="Muy Baja",AC123="Menor"),AND(AA123="Baja",AC123="Leve")),"Bajo",IF(OR(AND(AA123="Muy baja",AC123="Moderado"),AND(AA123="Baja",AC123="Menor"),AND(AA123="Baja",AC123="Moderado"),AND(AA123="Media",AC123="Leve"),AND(AA123="Media",AC123="Menor"),AND(AA123="Media",AC123="Moderado"),AND(AA123="Alta",AC123="Leve"),AND(AA123="Alta",AC123="Menor")),"Moderado",IF(OR(AND(AA123="Muy Baja",AC123="Mayor"),AND(AA123="Baja",AC123="Mayor"),AND(AA123="Media",AC123="Mayor"),AND(AA123="Alta",AC123="Moderado"),AND(AA123="Alta",AC123="Mayor"),AND(AA123="Muy Alta",AC123="Leve"),AND(AA123="Muy Alta",AC123="Menor"),AND(AA123="Muy Alta",AC123="Moderado"),AND(AA123="Muy Alta",AC123="Mayor")),"Alto",IF(OR(AND(AA123="Muy Baja",AC123="Catastrófico"),AND(AA123="Baja",AC123="Catastrófico"),AND(AA123="Media",AC123="Catastrófico"),AND(AA123="Alta",AC123="Catastrófico"),AND(AA123="Muy Alta",AC123="Catastrófico")),"Extremo","")))),"")</f>
        <v/>
      </c>
      <c r="AF123" s="116"/>
      <c r="AG123" s="121"/>
      <c r="AH123" s="122"/>
      <c r="AI123" s="123"/>
      <c r="AJ123" s="123"/>
      <c r="AK123" s="121"/>
      <c r="AL123" s="122"/>
    </row>
    <row r="124" spans="1:38" x14ac:dyDescent="0.3">
      <c r="A124" s="209"/>
      <c r="B124" s="139"/>
      <c r="C124" s="139"/>
      <c r="D124" s="210"/>
      <c r="E124" s="200"/>
      <c r="F124" s="141"/>
      <c r="G124" s="210"/>
      <c r="H124" s="140"/>
      <c r="I124" s="211"/>
      <c r="J124" s="207"/>
      <c r="K124" s="206"/>
      <c r="L124" s="205"/>
      <c r="M124" s="206">
        <f ca="1">IF(NOT(ISERROR(MATCH(L124,_xlfn.ANCHORARRAY(E136),0))),K138&amp;"Por favor no seleccionar los criterios de impacto",L124)</f>
        <v>0</v>
      </c>
      <c r="N124" s="207"/>
      <c r="O124" s="206"/>
      <c r="P124" s="208"/>
      <c r="Q124" s="113">
        <v>2</v>
      </c>
      <c r="R124" s="114"/>
      <c r="S124" s="115" t="str">
        <f>IF(OR(T124="Preventivo",T124="Detectivo"),"Probabilidad",IF(T124="Correctivo","Impacto",""))</f>
        <v/>
      </c>
      <c r="T124" s="116"/>
      <c r="U124" s="116"/>
      <c r="V124" s="117" t="str">
        <f t="shared" ref="V124:V128" si="164">IF(AND(T124="Preventivo",U124="Automático"),"50%",IF(AND(T124="Preventivo",U124="Manual"),"40%",IF(AND(T124="Detectivo",U124="Automático"),"40%",IF(AND(T124="Detectivo",U124="Manual"),"30%",IF(AND(T124="Correctivo",U124="Automático"),"35%",IF(AND(T124="Correctivo",U124="Manual"),"25%",""))))))</f>
        <v/>
      </c>
      <c r="W124" s="116"/>
      <c r="X124" s="116"/>
      <c r="Y124" s="116"/>
      <c r="Z124" s="118" t="str">
        <f>IFERROR(IF(AND(S123="Probabilidad",S124="Probabilidad"),(AB123-(+AB123*V124)),IF(S124="Probabilidad",(K123-(+K123*V124)),IF(S124="Impacto",AB123,""))),"")</f>
        <v/>
      </c>
      <c r="AA124" s="119" t="str">
        <f t="shared" ref="AA124:AA128" si="165">IFERROR(IF(Z124="","",IF(Z124&lt;=0.2,"Muy Baja",IF(Z124&lt;=0.4,"Baja",IF(Z124&lt;=0.6,"Media",IF(Z124&lt;=0.8,"Alta","Muy Alta"))))),"")</f>
        <v/>
      </c>
      <c r="AB124" s="117" t="str">
        <f t="shared" ref="AB124:AB128" si="166">+Z124</f>
        <v/>
      </c>
      <c r="AC124" s="119" t="str">
        <f t="shared" ref="AC124:AC128" si="167">IFERROR(IF(AD124="","",IF(AD124&lt;=0.2,"Leve",IF(AD124&lt;=0.4,"Menor",IF(AD124&lt;=0.6,"Moderado",IF(AD124&lt;=0.8,"Mayor","Catastrófico"))))),"")</f>
        <v/>
      </c>
      <c r="AD124" s="117" t="str">
        <f>IFERROR(IF(AND(S123="Impacto",S124="Impacto"),(AD117-(+AD117*V124)),IF(S124="Impacto",($O$63-(+$O$63*V124)),IF(S124="Probabilidad",AD117,""))),"")</f>
        <v/>
      </c>
      <c r="AE124" s="120" t="str">
        <f t="shared" ref="AE124:AE125" si="168">IFERROR(IF(OR(AND(AA124="Muy Baja",AC124="Leve"),AND(AA124="Muy Baja",AC124="Menor"),AND(AA124="Baja",AC124="Leve")),"Bajo",IF(OR(AND(AA124="Muy baja",AC124="Moderado"),AND(AA124="Baja",AC124="Menor"),AND(AA124="Baja",AC124="Moderado"),AND(AA124="Media",AC124="Leve"),AND(AA124="Media",AC124="Menor"),AND(AA124="Media",AC124="Moderado"),AND(AA124="Alta",AC124="Leve"),AND(AA124="Alta",AC124="Menor")),"Moderado",IF(OR(AND(AA124="Muy Baja",AC124="Mayor"),AND(AA124="Baja",AC124="Mayor"),AND(AA124="Media",AC124="Mayor"),AND(AA124="Alta",AC124="Moderado"),AND(AA124="Alta",AC124="Mayor"),AND(AA124="Muy Alta",AC124="Leve"),AND(AA124="Muy Alta",AC124="Menor"),AND(AA124="Muy Alta",AC124="Moderado"),AND(AA124="Muy Alta",AC124="Mayor")),"Alto",IF(OR(AND(AA124="Muy Baja",AC124="Catastrófico"),AND(AA124="Baja",AC124="Catastrófico"),AND(AA124="Media",AC124="Catastrófico"),AND(AA124="Alta",AC124="Catastrófico"),AND(AA124="Muy Alta",AC124="Catastrófico")),"Extremo","")))),"")</f>
        <v/>
      </c>
      <c r="AF124" s="116"/>
      <c r="AG124" s="121"/>
      <c r="AH124" s="122"/>
      <c r="AI124" s="123"/>
      <c r="AJ124" s="123"/>
      <c r="AK124" s="121"/>
      <c r="AL124" s="122"/>
    </row>
    <row r="125" spans="1:38" x14ac:dyDescent="0.3">
      <c r="A125" s="209"/>
      <c r="B125" s="139"/>
      <c r="C125" s="139"/>
      <c r="D125" s="210"/>
      <c r="E125" s="200"/>
      <c r="F125" s="141"/>
      <c r="G125" s="210"/>
      <c r="H125" s="140"/>
      <c r="I125" s="211"/>
      <c r="J125" s="207"/>
      <c r="K125" s="206"/>
      <c r="L125" s="205"/>
      <c r="M125" s="206">
        <f ca="1">IF(NOT(ISERROR(MATCH(L125,_xlfn.ANCHORARRAY(E137),0))),K139&amp;"Por favor no seleccionar los criterios de impacto",L125)</f>
        <v>0</v>
      </c>
      <c r="N125" s="207"/>
      <c r="O125" s="206"/>
      <c r="P125" s="208"/>
      <c r="Q125" s="113">
        <v>3</v>
      </c>
      <c r="R125" s="126"/>
      <c r="S125" s="115" t="str">
        <f>IF(OR(T125="Preventivo",T125="Detectivo"),"Probabilidad",IF(T125="Correctivo","Impacto",""))</f>
        <v/>
      </c>
      <c r="T125" s="116"/>
      <c r="U125" s="116"/>
      <c r="V125" s="117" t="str">
        <f t="shared" si="164"/>
        <v/>
      </c>
      <c r="W125" s="116"/>
      <c r="X125" s="116"/>
      <c r="Y125" s="116"/>
      <c r="Z125" s="118" t="str">
        <f>IFERROR(IF(AND(S124="Probabilidad",S125="Probabilidad"),(AB124-(+AB124*V125)),IF(AND(S124="Impacto",S125="Probabilidad"),(AB123-(+AB123*V125)),IF(S125="Impacto",AB124,""))),"")</f>
        <v/>
      </c>
      <c r="AA125" s="119" t="str">
        <f t="shared" si="165"/>
        <v/>
      </c>
      <c r="AB125" s="117" t="str">
        <f t="shared" si="166"/>
        <v/>
      </c>
      <c r="AC125" s="119" t="str">
        <f t="shared" si="167"/>
        <v/>
      </c>
      <c r="AD125" s="117" t="str">
        <f>IFERROR(IF(AND(S124="Impacto",S125="Impacto"),(AD124-(+AD124*V125)),IF(AND(S124="Probabilidad",S125="Impacto"),(AD123-(+AD123*V125)),IF(S125="Probabilidad",AD124,""))),"")</f>
        <v/>
      </c>
      <c r="AE125" s="120" t="str">
        <f t="shared" si="168"/>
        <v/>
      </c>
      <c r="AF125" s="116"/>
      <c r="AG125" s="121"/>
      <c r="AH125" s="122"/>
      <c r="AI125" s="123"/>
      <c r="AJ125" s="123"/>
      <c r="AK125" s="121"/>
      <c r="AL125" s="122"/>
    </row>
    <row r="126" spans="1:38" x14ac:dyDescent="0.3">
      <c r="A126" s="209"/>
      <c r="B126" s="139"/>
      <c r="C126" s="139"/>
      <c r="D126" s="210"/>
      <c r="E126" s="200"/>
      <c r="F126" s="141"/>
      <c r="G126" s="210"/>
      <c r="H126" s="140"/>
      <c r="I126" s="211"/>
      <c r="J126" s="207"/>
      <c r="K126" s="206"/>
      <c r="L126" s="205"/>
      <c r="M126" s="206">
        <f ca="1">IF(NOT(ISERROR(MATCH(L126,_xlfn.ANCHORARRAY(E138),0))),K140&amp;"Por favor no seleccionar los criterios de impacto",L126)</f>
        <v>0</v>
      </c>
      <c r="N126" s="207"/>
      <c r="O126" s="206"/>
      <c r="P126" s="208"/>
      <c r="Q126" s="113">
        <v>4</v>
      </c>
      <c r="R126" s="114"/>
      <c r="S126" s="115" t="str">
        <f t="shared" ref="S126:S128" si="169">IF(OR(T126="Preventivo",T126="Detectivo"),"Probabilidad",IF(T126="Correctivo","Impacto",""))</f>
        <v/>
      </c>
      <c r="T126" s="116"/>
      <c r="U126" s="116"/>
      <c r="V126" s="117" t="str">
        <f t="shared" si="164"/>
        <v/>
      </c>
      <c r="W126" s="116"/>
      <c r="X126" s="116"/>
      <c r="Y126" s="116"/>
      <c r="Z126" s="118" t="str">
        <f t="shared" ref="Z126:Z128" si="170">IFERROR(IF(AND(S125="Probabilidad",S126="Probabilidad"),(AB125-(+AB125*V126)),IF(AND(S125="Impacto",S126="Probabilidad"),(AB124-(+AB124*V126)),IF(S126="Impacto",AB125,""))),"")</f>
        <v/>
      </c>
      <c r="AA126" s="119" t="str">
        <f t="shared" si="165"/>
        <v/>
      </c>
      <c r="AB126" s="117" t="str">
        <f t="shared" si="166"/>
        <v/>
      </c>
      <c r="AC126" s="119" t="str">
        <f t="shared" si="167"/>
        <v/>
      </c>
      <c r="AD126" s="117" t="str">
        <f t="shared" ref="AD126:AD128" si="171">IFERROR(IF(AND(S125="Impacto",S126="Impacto"),(AD125-(+AD125*V126)),IF(AND(S125="Probabilidad",S126="Impacto"),(AD124-(+AD124*V126)),IF(S126="Probabilidad",AD125,""))),"")</f>
        <v/>
      </c>
      <c r="AE126" s="120" t="str">
        <f>IFERROR(IF(OR(AND(AA126="Muy Baja",AC126="Leve"),AND(AA126="Muy Baja",AC126="Menor"),AND(AA126="Baja",AC126="Leve")),"Bajo",IF(OR(AND(AA126="Muy baja",AC126="Moderado"),AND(AA126="Baja",AC126="Menor"),AND(AA126="Baja",AC126="Moderado"),AND(AA126="Media",AC126="Leve"),AND(AA126="Media",AC126="Menor"),AND(AA126="Media",AC126="Moderado"),AND(AA126="Alta",AC126="Leve"),AND(AA126="Alta",AC126="Menor")),"Moderado",IF(OR(AND(AA126="Muy Baja",AC126="Mayor"),AND(AA126="Baja",AC126="Mayor"),AND(AA126="Media",AC126="Mayor"),AND(AA126="Alta",AC126="Moderado"),AND(AA126="Alta",AC126="Mayor"),AND(AA126="Muy Alta",AC126="Leve"),AND(AA126="Muy Alta",AC126="Menor"),AND(AA126="Muy Alta",AC126="Moderado"),AND(AA126="Muy Alta",AC126="Mayor")),"Alto",IF(OR(AND(AA126="Muy Baja",AC126="Catastrófico"),AND(AA126="Baja",AC126="Catastrófico"),AND(AA126="Media",AC126="Catastrófico"),AND(AA126="Alta",AC126="Catastrófico"),AND(AA126="Muy Alta",AC126="Catastrófico")),"Extremo","")))),"")</f>
        <v/>
      </c>
      <c r="AF126" s="116"/>
      <c r="AG126" s="121"/>
      <c r="AH126" s="122"/>
      <c r="AI126" s="123"/>
      <c r="AJ126" s="123"/>
      <c r="AK126" s="121"/>
      <c r="AL126" s="122"/>
    </row>
    <row r="127" spans="1:38" x14ac:dyDescent="0.3">
      <c r="A127" s="209"/>
      <c r="B127" s="139"/>
      <c r="C127" s="139"/>
      <c r="D127" s="210"/>
      <c r="E127" s="200"/>
      <c r="F127" s="141"/>
      <c r="G127" s="210"/>
      <c r="H127" s="140"/>
      <c r="I127" s="211"/>
      <c r="J127" s="207"/>
      <c r="K127" s="206"/>
      <c r="L127" s="205"/>
      <c r="M127" s="206">
        <f ca="1">IF(NOT(ISERROR(MATCH(L127,_xlfn.ANCHORARRAY(E139),0))),K141&amp;"Por favor no seleccionar los criterios de impacto",L127)</f>
        <v>0</v>
      </c>
      <c r="N127" s="207"/>
      <c r="O127" s="206"/>
      <c r="P127" s="208"/>
      <c r="Q127" s="113">
        <v>5</v>
      </c>
      <c r="R127" s="114"/>
      <c r="S127" s="115" t="str">
        <f t="shared" si="169"/>
        <v/>
      </c>
      <c r="T127" s="116"/>
      <c r="U127" s="116"/>
      <c r="V127" s="117" t="str">
        <f t="shared" si="164"/>
        <v/>
      </c>
      <c r="W127" s="116"/>
      <c r="X127" s="116"/>
      <c r="Y127" s="116"/>
      <c r="Z127" s="118" t="str">
        <f t="shared" si="170"/>
        <v/>
      </c>
      <c r="AA127" s="119" t="str">
        <f t="shared" si="165"/>
        <v/>
      </c>
      <c r="AB127" s="117" t="str">
        <f t="shared" si="166"/>
        <v/>
      </c>
      <c r="AC127" s="119" t="str">
        <f t="shared" si="167"/>
        <v/>
      </c>
      <c r="AD127" s="117" t="str">
        <f t="shared" si="171"/>
        <v/>
      </c>
      <c r="AE127" s="120" t="str">
        <f t="shared" ref="AE127:AE128" si="172">IFERROR(IF(OR(AND(AA127="Muy Baja",AC127="Leve"),AND(AA127="Muy Baja",AC127="Menor"),AND(AA127="Baja",AC127="Leve")),"Bajo",IF(OR(AND(AA127="Muy baja",AC127="Moderado"),AND(AA127="Baja",AC127="Menor"),AND(AA127="Baja",AC127="Moderado"),AND(AA127="Media",AC127="Leve"),AND(AA127="Media",AC127="Menor"),AND(AA127="Media",AC127="Moderado"),AND(AA127="Alta",AC127="Leve"),AND(AA127="Alta",AC127="Menor")),"Moderado",IF(OR(AND(AA127="Muy Baja",AC127="Mayor"),AND(AA127="Baja",AC127="Mayor"),AND(AA127="Media",AC127="Mayor"),AND(AA127="Alta",AC127="Moderado"),AND(AA127="Alta",AC127="Mayor"),AND(AA127="Muy Alta",AC127="Leve"),AND(AA127="Muy Alta",AC127="Menor"),AND(AA127="Muy Alta",AC127="Moderado"),AND(AA127="Muy Alta",AC127="Mayor")),"Alto",IF(OR(AND(AA127="Muy Baja",AC127="Catastrófico"),AND(AA127="Baja",AC127="Catastrófico"),AND(AA127="Media",AC127="Catastrófico"),AND(AA127="Alta",AC127="Catastrófico"),AND(AA127="Muy Alta",AC127="Catastrófico")),"Extremo","")))),"")</f>
        <v/>
      </c>
      <c r="AF127" s="116"/>
      <c r="AG127" s="121"/>
      <c r="AH127" s="122"/>
      <c r="AI127" s="123"/>
      <c r="AJ127" s="123"/>
      <c r="AK127" s="121"/>
      <c r="AL127" s="122"/>
    </row>
    <row r="128" spans="1:38" x14ac:dyDescent="0.3">
      <c r="A128" s="209"/>
      <c r="B128" s="139"/>
      <c r="C128" s="139"/>
      <c r="D128" s="210"/>
      <c r="E128" s="200"/>
      <c r="F128" s="141"/>
      <c r="G128" s="210"/>
      <c r="H128" s="140"/>
      <c r="I128" s="211"/>
      <c r="J128" s="207"/>
      <c r="K128" s="206"/>
      <c r="L128" s="205"/>
      <c r="M128" s="206">
        <f ca="1">IF(NOT(ISERROR(MATCH(L128,_xlfn.ANCHORARRAY(E140),0))),K142&amp;"Por favor no seleccionar los criterios de impacto",L128)</f>
        <v>0</v>
      </c>
      <c r="N128" s="207"/>
      <c r="O128" s="206"/>
      <c r="P128" s="208"/>
      <c r="Q128" s="113">
        <v>6</v>
      </c>
      <c r="R128" s="114"/>
      <c r="S128" s="115" t="str">
        <f t="shared" si="169"/>
        <v/>
      </c>
      <c r="T128" s="116"/>
      <c r="U128" s="116"/>
      <c r="V128" s="117" t="str">
        <f t="shared" si="164"/>
        <v/>
      </c>
      <c r="W128" s="116"/>
      <c r="X128" s="116"/>
      <c r="Y128" s="116"/>
      <c r="Z128" s="118" t="str">
        <f t="shared" si="170"/>
        <v/>
      </c>
      <c r="AA128" s="119" t="str">
        <f t="shared" si="165"/>
        <v/>
      </c>
      <c r="AB128" s="117" t="str">
        <f t="shared" si="166"/>
        <v/>
      </c>
      <c r="AC128" s="119" t="str">
        <f t="shared" si="167"/>
        <v/>
      </c>
      <c r="AD128" s="117" t="str">
        <f t="shared" si="171"/>
        <v/>
      </c>
      <c r="AE128" s="120" t="str">
        <f t="shared" si="172"/>
        <v/>
      </c>
      <c r="AF128" s="116"/>
      <c r="AG128" s="121"/>
      <c r="AH128" s="122"/>
      <c r="AI128" s="123"/>
      <c r="AJ128" s="123"/>
      <c r="AK128" s="121"/>
      <c r="AL128" s="122"/>
    </row>
    <row r="129" spans="1:38" s="132" customFormat="1" x14ac:dyDescent="0.3">
      <c r="A129" s="131"/>
      <c r="B129" s="131"/>
      <c r="C129" s="131"/>
      <c r="D129" s="131"/>
      <c r="G129" s="133"/>
      <c r="H129" s="133"/>
    </row>
    <row r="130" spans="1:38" ht="30" customHeight="1" x14ac:dyDescent="0.3">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row>
    <row r="131" spans="1:38" s="135" customFormat="1" x14ac:dyDescent="0.3">
      <c r="A131" s="134"/>
      <c r="B131" s="134"/>
      <c r="C131" s="134"/>
      <c r="D131" s="134"/>
      <c r="G131" s="136"/>
      <c r="H131" s="136"/>
    </row>
  </sheetData>
  <dataConsolidate/>
  <mergeCells count="295">
    <mergeCell ref="A3:AL3"/>
    <mergeCell ref="A4:AL4"/>
    <mergeCell ref="A5:AL5"/>
    <mergeCell ref="N63:N68"/>
    <mergeCell ref="O63:O68"/>
    <mergeCell ref="P63:P68"/>
    <mergeCell ref="L57:L62"/>
    <mergeCell ref="M57:M62"/>
    <mergeCell ref="F15:F20"/>
    <mergeCell ref="H15:H20"/>
    <mergeCell ref="H21:H26"/>
    <mergeCell ref="F21:F26"/>
    <mergeCell ref="F27:F32"/>
    <mergeCell ref="H27:H32"/>
    <mergeCell ref="N57:N62"/>
    <mergeCell ref="N39:N44"/>
    <mergeCell ref="N33:N38"/>
    <mergeCell ref="L27:L32"/>
    <mergeCell ref="M27:M32"/>
    <mergeCell ref="N27:N32"/>
    <mergeCell ref="O27:O32"/>
    <mergeCell ref="P27:P32"/>
    <mergeCell ref="O33:O38"/>
    <mergeCell ref="P33:P38"/>
    <mergeCell ref="A57:A62"/>
    <mergeCell ref="D57:D62"/>
    <mergeCell ref="E57:E62"/>
    <mergeCell ref="G57:G62"/>
    <mergeCell ref="I57:I62"/>
    <mergeCell ref="J57:J62"/>
    <mergeCell ref="K57:K62"/>
    <mergeCell ref="L51:L56"/>
    <mergeCell ref="G45:G50"/>
    <mergeCell ref="I45:I50"/>
    <mergeCell ref="J45:J50"/>
    <mergeCell ref="K45:K50"/>
    <mergeCell ref="A63:A68"/>
    <mergeCell ref="D63:D68"/>
    <mergeCell ref="E63:E68"/>
    <mergeCell ref="G63:G68"/>
    <mergeCell ref="I63:I68"/>
    <mergeCell ref="J63:J68"/>
    <mergeCell ref="K63:K68"/>
    <mergeCell ref="L63:L68"/>
    <mergeCell ref="M63:M68"/>
    <mergeCell ref="A1:AL2"/>
    <mergeCell ref="A6:I6"/>
    <mergeCell ref="J6:P6"/>
    <mergeCell ref="Q6:Y6"/>
    <mergeCell ref="Z6:AF6"/>
    <mergeCell ref="AG6:AL6"/>
    <mergeCell ref="O57:O62"/>
    <mergeCell ref="P57:P62"/>
    <mergeCell ref="C21:C26"/>
    <mergeCell ref="B21:B26"/>
    <mergeCell ref="B27:B32"/>
    <mergeCell ref="C27:C32"/>
    <mergeCell ref="A51:A56"/>
    <mergeCell ref="D51:D56"/>
    <mergeCell ref="E51:E56"/>
    <mergeCell ref="A45:A50"/>
    <mergeCell ref="D45:D50"/>
    <mergeCell ref="E45:E50"/>
    <mergeCell ref="O45:O50"/>
    <mergeCell ref="P45:P50"/>
    <mergeCell ref="G51:G56"/>
    <mergeCell ref="I51:I56"/>
    <mergeCell ref="J51:J56"/>
    <mergeCell ref="K51:K56"/>
    <mergeCell ref="M51:M56"/>
    <mergeCell ref="N51:N56"/>
    <mergeCell ref="O51:O56"/>
    <mergeCell ref="P51:P56"/>
    <mergeCell ref="L45:L50"/>
    <mergeCell ref="M45:M50"/>
    <mergeCell ref="N45:N50"/>
    <mergeCell ref="A39:A44"/>
    <mergeCell ref="D39:D44"/>
    <mergeCell ref="E39:E44"/>
    <mergeCell ref="G39:G44"/>
    <mergeCell ref="O39:O44"/>
    <mergeCell ref="P39:P44"/>
    <mergeCell ref="L39:L44"/>
    <mergeCell ref="M39:M44"/>
    <mergeCell ref="G33:G38"/>
    <mergeCell ref="I33:I38"/>
    <mergeCell ref="J33:J38"/>
    <mergeCell ref="L33:L38"/>
    <mergeCell ref="I39:I44"/>
    <mergeCell ref="J39:J44"/>
    <mergeCell ref="K39:K44"/>
    <mergeCell ref="M33:M38"/>
    <mergeCell ref="N15:N20"/>
    <mergeCell ref="O15:O20"/>
    <mergeCell ref="P15:P20"/>
    <mergeCell ref="A21:A26"/>
    <mergeCell ref="D21:D26"/>
    <mergeCell ref="E21:E26"/>
    <mergeCell ref="G21:G26"/>
    <mergeCell ref="I21:I26"/>
    <mergeCell ref="J21:J26"/>
    <mergeCell ref="K21:K26"/>
    <mergeCell ref="L21:L26"/>
    <mergeCell ref="M21:M26"/>
    <mergeCell ref="N21:N26"/>
    <mergeCell ref="G15:G20"/>
    <mergeCell ref="I15:I20"/>
    <mergeCell ref="J15:J20"/>
    <mergeCell ref="K15:K20"/>
    <mergeCell ref="L15:L20"/>
    <mergeCell ref="A15:A20"/>
    <mergeCell ref="O21:O26"/>
    <mergeCell ref="P21:P26"/>
    <mergeCell ref="M15:M20"/>
    <mergeCell ref="AG7:AG8"/>
    <mergeCell ref="AL7:AL8"/>
    <mergeCell ref="AK7:AK8"/>
    <mergeCell ref="AJ7:AJ8"/>
    <mergeCell ref="AI7:AI8"/>
    <mergeCell ref="AH7:AH8"/>
    <mergeCell ref="A7:A8"/>
    <mergeCell ref="G7:G8"/>
    <mergeCell ref="E7:E8"/>
    <mergeCell ref="D7:D8"/>
    <mergeCell ref="AF7:AF8"/>
    <mergeCell ref="Q7:Q8"/>
    <mergeCell ref="AE7:AE8"/>
    <mergeCell ref="AD7:AD8"/>
    <mergeCell ref="Z7:Z8"/>
    <mergeCell ref="R7:R8"/>
    <mergeCell ref="I7:I8"/>
    <mergeCell ref="J7:J8"/>
    <mergeCell ref="K7:K8"/>
    <mergeCell ref="N7:N8"/>
    <mergeCell ref="O7:O8"/>
    <mergeCell ref="P7:P8"/>
    <mergeCell ref="L7:L8"/>
    <mergeCell ref="M7:M8"/>
    <mergeCell ref="P9:P14"/>
    <mergeCell ref="K9:K14"/>
    <mergeCell ref="L9:L14"/>
    <mergeCell ref="M9:M14"/>
    <mergeCell ref="N9:N14"/>
    <mergeCell ref="O9:O14"/>
    <mergeCell ref="AC7:AC8"/>
    <mergeCell ref="AA7:AA8"/>
    <mergeCell ref="AB7:AB8"/>
    <mergeCell ref="S7:S8"/>
    <mergeCell ref="T7:Y7"/>
    <mergeCell ref="G9:G14"/>
    <mergeCell ref="I9:I14"/>
    <mergeCell ref="J9:J14"/>
    <mergeCell ref="A9:A14"/>
    <mergeCell ref="D9:D14"/>
    <mergeCell ref="E9:E14"/>
    <mergeCell ref="D15:D20"/>
    <mergeCell ref="E15:E20"/>
    <mergeCell ref="K33:K38"/>
    <mergeCell ref="B9:B14"/>
    <mergeCell ref="B15:B20"/>
    <mergeCell ref="A27:A32"/>
    <mergeCell ref="D27:D32"/>
    <mergeCell ref="E27:E32"/>
    <mergeCell ref="G27:G32"/>
    <mergeCell ref="I27:I32"/>
    <mergeCell ref="J27:J32"/>
    <mergeCell ref="K27:K32"/>
    <mergeCell ref="A33:A38"/>
    <mergeCell ref="C9:C20"/>
    <mergeCell ref="D33:D38"/>
    <mergeCell ref="E33:E38"/>
    <mergeCell ref="L69:L74"/>
    <mergeCell ref="M69:M74"/>
    <mergeCell ref="N69:N74"/>
    <mergeCell ref="O69:O74"/>
    <mergeCell ref="P69:P74"/>
    <mergeCell ref="A75:A80"/>
    <mergeCell ref="D75:D80"/>
    <mergeCell ref="E75:E80"/>
    <mergeCell ref="G75:G80"/>
    <mergeCell ref="I75:I80"/>
    <mergeCell ref="J75:J80"/>
    <mergeCell ref="K75:K80"/>
    <mergeCell ref="L75:L80"/>
    <mergeCell ref="M75:M80"/>
    <mergeCell ref="N75:N80"/>
    <mergeCell ref="O75:O80"/>
    <mergeCell ref="P75:P80"/>
    <mergeCell ref="A69:A74"/>
    <mergeCell ref="D69:D74"/>
    <mergeCell ref="E69:E74"/>
    <mergeCell ref="G69:G74"/>
    <mergeCell ref="I69:I74"/>
    <mergeCell ref="J69:J74"/>
    <mergeCell ref="K69:K74"/>
    <mergeCell ref="A87:A92"/>
    <mergeCell ref="D87:D92"/>
    <mergeCell ref="E87:E92"/>
    <mergeCell ref="G87:G92"/>
    <mergeCell ref="I87:I92"/>
    <mergeCell ref="J87:J92"/>
    <mergeCell ref="K87:K92"/>
    <mergeCell ref="A81:A86"/>
    <mergeCell ref="D81:D86"/>
    <mergeCell ref="E81:E86"/>
    <mergeCell ref="G81:G86"/>
    <mergeCell ref="I81:I86"/>
    <mergeCell ref="J81:J86"/>
    <mergeCell ref="K81:K86"/>
    <mergeCell ref="O81:O86"/>
    <mergeCell ref="P81:P86"/>
    <mergeCell ref="L87:L92"/>
    <mergeCell ref="M87:M92"/>
    <mergeCell ref="N87:N92"/>
    <mergeCell ref="O87:O92"/>
    <mergeCell ref="P87:P92"/>
    <mergeCell ref="M93:M98"/>
    <mergeCell ref="N93:N98"/>
    <mergeCell ref="O93:O98"/>
    <mergeCell ref="P93:P98"/>
    <mergeCell ref="K99:K104"/>
    <mergeCell ref="G93:G98"/>
    <mergeCell ref="I93:I98"/>
    <mergeCell ref="J93:J98"/>
    <mergeCell ref="K93:K98"/>
    <mergeCell ref="L93:L98"/>
    <mergeCell ref="L81:L86"/>
    <mergeCell ref="M81:M86"/>
    <mergeCell ref="N81:N86"/>
    <mergeCell ref="A93:A98"/>
    <mergeCell ref="D93:D98"/>
    <mergeCell ref="E93:E98"/>
    <mergeCell ref="A99:A104"/>
    <mergeCell ref="D99:D104"/>
    <mergeCell ref="E99:E104"/>
    <mergeCell ref="G99:G104"/>
    <mergeCell ref="I99:I104"/>
    <mergeCell ref="J99:J104"/>
    <mergeCell ref="A117:A122"/>
    <mergeCell ref="D117:D122"/>
    <mergeCell ref="E117:E122"/>
    <mergeCell ref="G117:G122"/>
    <mergeCell ref="I117:I122"/>
    <mergeCell ref="J117:J122"/>
    <mergeCell ref="K117:K122"/>
    <mergeCell ref="L105:L110"/>
    <mergeCell ref="M105:M110"/>
    <mergeCell ref="A111:A116"/>
    <mergeCell ref="D111:D116"/>
    <mergeCell ref="E111:E116"/>
    <mergeCell ref="G111:G116"/>
    <mergeCell ref="I111:I116"/>
    <mergeCell ref="J111:J116"/>
    <mergeCell ref="K111:K116"/>
    <mergeCell ref="L111:L116"/>
    <mergeCell ref="M111:M116"/>
    <mergeCell ref="A105:A110"/>
    <mergeCell ref="D105:D110"/>
    <mergeCell ref="E105:E110"/>
    <mergeCell ref="G105:G110"/>
    <mergeCell ref="I105:I110"/>
    <mergeCell ref="J105:J110"/>
    <mergeCell ref="A123:A128"/>
    <mergeCell ref="D123:D128"/>
    <mergeCell ref="E123:E128"/>
    <mergeCell ref="G123:G128"/>
    <mergeCell ref="I123:I128"/>
    <mergeCell ref="J123:J128"/>
    <mergeCell ref="K123:K128"/>
    <mergeCell ref="L123:L128"/>
    <mergeCell ref="M123:M128"/>
    <mergeCell ref="H7:H8"/>
    <mergeCell ref="F9:F14"/>
    <mergeCell ref="H9:H14"/>
    <mergeCell ref="D130:AL130"/>
    <mergeCell ref="L117:L122"/>
    <mergeCell ref="M117:M122"/>
    <mergeCell ref="N117:N122"/>
    <mergeCell ref="O117:O122"/>
    <mergeCell ref="P117:P122"/>
    <mergeCell ref="N123:N128"/>
    <mergeCell ref="O123:O128"/>
    <mergeCell ref="P123:P128"/>
    <mergeCell ref="N105:N110"/>
    <mergeCell ref="O105:O110"/>
    <mergeCell ref="P105:P110"/>
    <mergeCell ref="N111:N116"/>
    <mergeCell ref="O111:O116"/>
    <mergeCell ref="P111:P116"/>
    <mergeCell ref="K105:K110"/>
    <mergeCell ref="L99:L104"/>
    <mergeCell ref="M99:M104"/>
    <mergeCell ref="N99:N104"/>
    <mergeCell ref="O99:O104"/>
    <mergeCell ref="P99:P104"/>
  </mergeCells>
  <phoneticPr fontId="62" type="noConversion"/>
  <conditionalFormatting sqref="J15">
    <cfRule type="cellIs" dxfId="470" priority="555" operator="equal">
      <formula>"Muy Alta"</formula>
    </cfRule>
    <cfRule type="cellIs" dxfId="469" priority="556" operator="equal">
      <formula>"Alta"</formula>
    </cfRule>
    <cfRule type="cellIs" dxfId="468" priority="557" operator="equal">
      <formula>"Media"</formula>
    </cfRule>
    <cfRule type="cellIs" dxfId="467" priority="558" operator="equal">
      <formula>"Baja"</formula>
    </cfRule>
    <cfRule type="cellIs" dxfId="466" priority="559" operator="equal">
      <formula>"Muy Baja"</formula>
    </cfRule>
  </conditionalFormatting>
  <conditionalFormatting sqref="N9 N15 N21 N27 N33 N39 N45 N51 N57 N63">
    <cfRule type="cellIs" dxfId="465" priority="550" operator="equal">
      <formula>"Catastrófico"</formula>
    </cfRule>
    <cfRule type="cellIs" dxfId="464" priority="551" operator="equal">
      <formula>"Mayor"</formula>
    </cfRule>
    <cfRule type="cellIs" dxfId="463" priority="552" operator="equal">
      <formula>"Moderado"</formula>
    </cfRule>
    <cfRule type="cellIs" dxfId="462" priority="553" operator="equal">
      <formula>"Menor"</formula>
    </cfRule>
    <cfRule type="cellIs" dxfId="461" priority="554" operator="equal">
      <formula>"Leve"</formula>
    </cfRule>
  </conditionalFormatting>
  <conditionalFormatting sqref="P9">
    <cfRule type="cellIs" dxfId="460" priority="546" operator="equal">
      <formula>"Extremo"</formula>
    </cfRule>
    <cfRule type="cellIs" dxfId="459" priority="547" operator="equal">
      <formula>"Alto"</formula>
    </cfRule>
    <cfRule type="cellIs" dxfId="458" priority="548" operator="equal">
      <formula>"Moderado"</formula>
    </cfRule>
    <cfRule type="cellIs" dxfId="457" priority="549" operator="equal">
      <formula>"Bajo"</formula>
    </cfRule>
  </conditionalFormatting>
  <conditionalFormatting sqref="AA9:AA14">
    <cfRule type="cellIs" dxfId="456" priority="541" operator="equal">
      <formula>"Muy Alta"</formula>
    </cfRule>
    <cfRule type="cellIs" dxfId="455" priority="542" operator="equal">
      <formula>"Alta"</formula>
    </cfRule>
    <cfRule type="cellIs" dxfId="454" priority="543" operator="equal">
      <formula>"Media"</formula>
    </cfRule>
    <cfRule type="cellIs" dxfId="453" priority="544" operator="equal">
      <formula>"Baja"</formula>
    </cfRule>
    <cfRule type="cellIs" dxfId="452" priority="545" operator="equal">
      <formula>"Muy Baja"</formula>
    </cfRule>
  </conditionalFormatting>
  <conditionalFormatting sqref="AC9:AC14">
    <cfRule type="cellIs" dxfId="451" priority="536" operator="equal">
      <formula>"Catastrófico"</formula>
    </cfRule>
    <cfRule type="cellIs" dxfId="450" priority="537" operator="equal">
      <formula>"Mayor"</formula>
    </cfRule>
    <cfRule type="cellIs" dxfId="449" priority="538" operator="equal">
      <formula>"Moderado"</formula>
    </cfRule>
    <cfRule type="cellIs" dxfId="448" priority="539" operator="equal">
      <formula>"Menor"</formula>
    </cfRule>
    <cfRule type="cellIs" dxfId="447" priority="540" operator="equal">
      <formula>"Leve"</formula>
    </cfRule>
  </conditionalFormatting>
  <conditionalFormatting sqref="AE9:AE14">
    <cfRule type="cellIs" dxfId="446" priority="532" operator="equal">
      <formula>"Extremo"</formula>
    </cfRule>
    <cfRule type="cellIs" dxfId="445" priority="533" operator="equal">
      <formula>"Alto"</formula>
    </cfRule>
    <cfRule type="cellIs" dxfId="444" priority="534" operator="equal">
      <formula>"Moderado"</formula>
    </cfRule>
    <cfRule type="cellIs" dxfId="443" priority="535" operator="equal">
      <formula>"Bajo"</formula>
    </cfRule>
  </conditionalFormatting>
  <conditionalFormatting sqref="J57">
    <cfRule type="cellIs" dxfId="442" priority="289" operator="equal">
      <formula>"Muy Alta"</formula>
    </cfRule>
    <cfRule type="cellIs" dxfId="441" priority="290" operator="equal">
      <formula>"Alta"</formula>
    </cfRule>
    <cfRule type="cellIs" dxfId="440" priority="291" operator="equal">
      <formula>"Media"</formula>
    </cfRule>
    <cfRule type="cellIs" dxfId="439" priority="292" operator="equal">
      <formula>"Baja"</formula>
    </cfRule>
    <cfRule type="cellIs" dxfId="438" priority="293" operator="equal">
      <formula>"Muy Baja"</formula>
    </cfRule>
  </conditionalFormatting>
  <conditionalFormatting sqref="P15">
    <cfRule type="cellIs" dxfId="437" priority="476" operator="equal">
      <formula>"Extremo"</formula>
    </cfRule>
    <cfRule type="cellIs" dxfId="436" priority="477" operator="equal">
      <formula>"Alto"</formula>
    </cfRule>
    <cfRule type="cellIs" dxfId="435" priority="478" operator="equal">
      <formula>"Moderado"</formula>
    </cfRule>
    <cfRule type="cellIs" dxfId="434" priority="479" operator="equal">
      <formula>"Bajo"</formula>
    </cfRule>
  </conditionalFormatting>
  <conditionalFormatting sqref="AA15:AA20">
    <cfRule type="cellIs" dxfId="433" priority="471" operator="equal">
      <formula>"Muy Alta"</formula>
    </cfRule>
    <cfRule type="cellIs" dxfId="432" priority="472" operator="equal">
      <formula>"Alta"</formula>
    </cfRule>
    <cfRule type="cellIs" dxfId="431" priority="473" operator="equal">
      <formula>"Media"</formula>
    </cfRule>
    <cfRule type="cellIs" dxfId="430" priority="474" operator="equal">
      <formula>"Baja"</formula>
    </cfRule>
    <cfRule type="cellIs" dxfId="429" priority="475" operator="equal">
      <formula>"Muy Baja"</formula>
    </cfRule>
  </conditionalFormatting>
  <conditionalFormatting sqref="AC15:AC20">
    <cfRule type="cellIs" dxfId="428" priority="466" operator="equal">
      <formula>"Catastrófico"</formula>
    </cfRule>
    <cfRule type="cellIs" dxfId="427" priority="467" operator="equal">
      <formula>"Mayor"</formula>
    </cfRule>
    <cfRule type="cellIs" dxfId="426" priority="468" operator="equal">
      <formula>"Moderado"</formula>
    </cfRule>
    <cfRule type="cellIs" dxfId="425" priority="469" operator="equal">
      <formula>"Menor"</formula>
    </cfRule>
    <cfRule type="cellIs" dxfId="424" priority="470" operator="equal">
      <formula>"Leve"</formula>
    </cfRule>
  </conditionalFormatting>
  <conditionalFormatting sqref="AE15:AE20">
    <cfRule type="cellIs" dxfId="423" priority="462" operator="equal">
      <formula>"Extremo"</formula>
    </cfRule>
    <cfRule type="cellIs" dxfId="422" priority="463" operator="equal">
      <formula>"Alto"</formula>
    </cfRule>
    <cfRule type="cellIs" dxfId="421" priority="464" operator="equal">
      <formula>"Moderado"</formula>
    </cfRule>
    <cfRule type="cellIs" dxfId="420" priority="465" operator="equal">
      <formula>"Bajo"</formula>
    </cfRule>
  </conditionalFormatting>
  <conditionalFormatting sqref="J21">
    <cfRule type="cellIs" dxfId="419" priority="457" operator="equal">
      <formula>"Muy Alta"</formula>
    </cfRule>
    <cfRule type="cellIs" dxfId="418" priority="458" operator="equal">
      <formula>"Alta"</formula>
    </cfRule>
    <cfRule type="cellIs" dxfId="417" priority="459" operator="equal">
      <formula>"Media"</formula>
    </cfRule>
    <cfRule type="cellIs" dxfId="416" priority="460" operator="equal">
      <formula>"Baja"</formula>
    </cfRule>
    <cfRule type="cellIs" dxfId="415" priority="461" operator="equal">
      <formula>"Muy Baja"</formula>
    </cfRule>
  </conditionalFormatting>
  <conditionalFormatting sqref="P21">
    <cfRule type="cellIs" dxfId="414" priority="448" operator="equal">
      <formula>"Extremo"</formula>
    </cfRule>
    <cfRule type="cellIs" dxfId="413" priority="449" operator="equal">
      <formula>"Alto"</formula>
    </cfRule>
    <cfRule type="cellIs" dxfId="412" priority="450" operator="equal">
      <formula>"Moderado"</formula>
    </cfRule>
    <cfRule type="cellIs" dxfId="411" priority="451" operator="equal">
      <formula>"Bajo"</formula>
    </cfRule>
  </conditionalFormatting>
  <conditionalFormatting sqref="AA21:AA26">
    <cfRule type="cellIs" dxfId="410" priority="443" operator="equal">
      <formula>"Muy Alta"</formula>
    </cfRule>
    <cfRule type="cellIs" dxfId="409" priority="444" operator="equal">
      <formula>"Alta"</formula>
    </cfRule>
    <cfRule type="cellIs" dxfId="408" priority="445" operator="equal">
      <formula>"Media"</formula>
    </cfRule>
    <cfRule type="cellIs" dxfId="407" priority="446" operator="equal">
      <formula>"Baja"</formula>
    </cfRule>
    <cfRule type="cellIs" dxfId="406" priority="447" operator="equal">
      <formula>"Muy Baja"</formula>
    </cfRule>
  </conditionalFormatting>
  <conditionalFormatting sqref="AC21:AC26">
    <cfRule type="cellIs" dxfId="405" priority="438" operator="equal">
      <formula>"Catastrófico"</formula>
    </cfRule>
    <cfRule type="cellIs" dxfId="404" priority="439" operator="equal">
      <formula>"Mayor"</formula>
    </cfRule>
    <cfRule type="cellIs" dxfId="403" priority="440" operator="equal">
      <formula>"Moderado"</formula>
    </cfRule>
    <cfRule type="cellIs" dxfId="402" priority="441" operator="equal">
      <formula>"Menor"</formula>
    </cfRule>
    <cfRule type="cellIs" dxfId="401" priority="442" operator="equal">
      <formula>"Leve"</formula>
    </cfRule>
  </conditionalFormatting>
  <conditionalFormatting sqref="AE21:AE26">
    <cfRule type="cellIs" dxfId="400" priority="434" operator="equal">
      <formula>"Extremo"</formula>
    </cfRule>
    <cfRule type="cellIs" dxfId="399" priority="435" operator="equal">
      <formula>"Alto"</formula>
    </cfRule>
    <cfRule type="cellIs" dxfId="398" priority="436" operator="equal">
      <formula>"Moderado"</formula>
    </cfRule>
    <cfRule type="cellIs" dxfId="397" priority="437" operator="equal">
      <formula>"Bajo"</formula>
    </cfRule>
  </conditionalFormatting>
  <conditionalFormatting sqref="J27">
    <cfRule type="cellIs" dxfId="396" priority="429" operator="equal">
      <formula>"Muy Alta"</formula>
    </cfRule>
    <cfRule type="cellIs" dxfId="395" priority="430" operator="equal">
      <formula>"Alta"</formula>
    </cfRule>
    <cfRule type="cellIs" dxfId="394" priority="431" operator="equal">
      <formula>"Media"</formula>
    </cfRule>
    <cfRule type="cellIs" dxfId="393" priority="432" operator="equal">
      <formula>"Baja"</formula>
    </cfRule>
    <cfRule type="cellIs" dxfId="392" priority="433" operator="equal">
      <formula>"Muy Baja"</formula>
    </cfRule>
  </conditionalFormatting>
  <conditionalFormatting sqref="P27">
    <cfRule type="cellIs" dxfId="391" priority="420" operator="equal">
      <formula>"Extremo"</formula>
    </cfRule>
    <cfRule type="cellIs" dxfId="390" priority="421" operator="equal">
      <formula>"Alto"</formula>
    </cfRule>
    <cfRule type="cellIs" dxfId="389" priority="422" operator="equal">
      <formula>"Moderado"</formula>
    </cfRule>
    <cfRule type="cellIs" dxfId="388" priority="423" operator="equal">
      <formula>"Bajo"</formula>
    </cfRule>
  </conditionalFormatting>
  <conditionalFormatting sqref="AA27:AA32">
    <cfRule type="cellIs" dxfId="387" priority="415" operator="equal">
      <formula>"Muy Alta"</formula>
    </cfRule>
    <cfRule type="cellIs" dxfId="386" priority="416" operator="equal">
      <formula>"Alta"</formula>
    </cfRule>
    <cfRule type="cellIs" dxfId="385" priority="417" operator="equal">
      <formula>"Media"</formula>
    </cfRule>
    <cfRule type="cellIs" dxfId="384" priority="418" operator="equal">
      <formula>"Baja"</formula>
    </cfRule>
    <cfRule type="cellIs" dxfId="383" priority="419" operator="equal">
      <formula>"Muy Baja"</formula>
    </cfRule>
  </conditionalFormatting>
  <conditionalFormatting sqref="AC27:AC32">
    <cfRule type="cellIs" dxfId="382" priority="410" operator="equal">
      <formula>"Catastrófico"</formula>
    </cfRule>
    <cfRule type="cellIs" dxfId="381" priority="411" operator="equal">
      <formula>"Mayor"</formula>
    </cfRule>
    <cfRule type="cellIs" dxfId="380" priority="412" operator="equal">
      <formula>"Moderado"</formula>
    </cfRule>
    <cfRule type="cellIs" dxfId="379" priority="413" operator="equal">
      <formula>"Menor"</formula>
    </cfRule>
    <cfRule type="cellIs" dxfId="378" priority="414" operator="equal">
      <formula>"Leve"</formula>
    </cfRule>
  </conditionalFormatting>
  <conditionalFormatting sqref="AE27:AE32">
    <cfRule type="cellIs" dxfId="377" priority="406" operator="equal">
      <formula>"Extremo"</formula>
    </cfRule>
    <cfRule type="cellIs" dxfId="376" priority="407" operator="equal">
      <formula>"Alto"</formula>
    </cfRule>
    <cfRule type="cellIs" dxfId="375" priority="408" operator="equal">
      <formula>"Moderado"</formula>
    </cfRule>
    <cfRule type="cellIs" dxfId="374" priority="409" operator="equal">
      <formula>"Bajo"</formula>
    </cfRule>
  </conditionalFormatting>
  <conditionalFormatting sqref="J33">
    <cfRule type="cellIs" dxfId="373" priority="401" operator="equal">
      <formula>"Muy Alta"</formula>
    </cfRule>
    <cfRule type="cellIs" dxfId="372" priority="402" operator="equal">
      <formula>"Alta"</formula>
    </cfRule>
    <cfRule type="cellIs" dxfId="371" priority="403" operator="equal">
      <formula>"Media"</formula>
    </cfRule>
    <cfRule type="cellIs" dxfId="370" priority="404" operator="equal">
      <formula>"Baja"</formula>
    </cfRule>
    <cfRule type="cellIs" dxfId="369" priority="405" operator="equal">
      <formula>"Muy Baja"</formula>
    </cfRule>
  </conditionalFormatting>
  <conditionalFormatting sqref="P33">
    <cfRule type="cellIs" dxfId="368" priority="392" operator="equal">
      <formula>"Extremo"</formula>
    </cfRule>
    <cfRule type="cellIs" dxfId="367" priority="393" operator="equal">
      <formula>"Alto"</formula>
    </cfRule>
    <cfRule type="cellIs" dxfId="366" priority="394" operator="equal">
      <formula>"Moderado"</formula>
    </cfRule>
    <cfRule type="cellIs" dxfId="365" priority="395" operator="equal">
      <formula>"Bajo"</formula>
    </cfRule>
  </conditionalFormatting>
  <conditionalFormatting sqref="AA33:AA38">
    <cfRule type="cellIs" dxfId="364" priority="387" operator="equal">
      <formula>"Muy Alta"</formula>
    </cfRule>
    <cfRule type="cellIs" dxfId="363" priority="388" operator="equal">
      <formula>"Alta"</formula>
    </cfRule>
    <cfRule type="cellIs" dxfId="362" priority="389" operator="equal">
      <formula>"Media"</formula>
    </cfRule>
    <cfRule type="cellIs" dxfId="361" priority="390" operator="equal">
      <formula>"Baja"</formula>
    </cfRule>
    <cfRule type="cellIs" dxfId="360" priority="391" operator="equal">
      <formula>"Muy Baja"</formula>
    </cfRule>
  </conditionalFormatting>
  <conditionalFormatting sqref="AC33:AC38">
    <cfRule type="cellIs" dxfId="359" priority="382" operator="equal">
      <formula>"Catastrófico"</formula>
    </cfRule>
    <cfRule type="cellIs" dxfId="358" priority="383" operator="equal">
      <formula>"Mayor"</formula>
    </cfRule>
    <cfRule type="cellIs" dxfId="357" priority="384" operator="equal">
      <formula>"Moderado"</formula>
    </cfRule>
    <cfRule type="cellIs" dxfId="356" priority="385" operator="equal">
      <formula>"Menor"</formula>
    </cfRule>
    <cfRule type="cellIs" dxfId="355" priority="386" operator="equal">
      <formula>"Leve"</formula>
    </cfRule>
  </conditionalFormatting>
  <conditionalFormatting sqref="AE33:AE38">
    <cfRule type="cellIs" dxfId="354" priority="378" operator="equal">
      <formula>"Extremo"</formula>
    </cfRule>
    <cfRule type="cellIs" dxfId="353" priority="379" operator="equal">
      <formula>"Alto"</formula>
    </cfRule>
    <cfRule type="cellIs" dxfId="352" priority="380" operator="equal">
      <formula>"Moderado"</formula>
    </cfRule>
    <cfRule type="cellIs" dxfId="351" priority="381" operator="equal">
      <formula>"Bajo"</formula>
    </cfRule>
  </conditionalFormatting>
  <conditionalFormatting sqref="J39">
    <cfRule type="cellIs" dxfId="350" priority="373" operator="equal">
      <formula>"Muy Alta"</formula>
    </cfRule>
    <cfRule type="cellIs" dxfId="349" priority="374" operator="equal">
      <formula>"Alta"</formula>
    </cfRule>
    <cfRule type="cellIs" dxfId="348" priority="375" operator="equal">
      <formula>"Media"</formula>
    </cfRule>
    <cfRule type="cellIs" dxfId="347" priority="376" operator="equal">
      <formula>"Baja"</formula>
    </cfRule>
    <cfRule type="cellIs" dxfId="346" priority="377" operator="equal">
      <formula>"Muy Baja"</formula>
    </cfRule>
  </conditionalFormatting>
  <conditionalFormatting sqref="P39">
    <cfRule type="cellIs" dxfId="345" priority="364" operator="equal">
      <formula>"Extremo"</formula>
    </cfRule>
    <cfRule type="cellIs" dxfId="344" priority="365" operator="equal">
      <formula>"Alto"</formula>
    </cfRule>
    <cfRule type="cellIs" dxfId="343" priority="366" operator="equal">
      <formula>"Moderado"</formula>
    </cfRule>
    <cfRule type="cellIs" dxfId="342" priority="367" operator="equal">
      <formula>"Bajo"</formula>
    </cfRule>
  </conditionalFormatting>
  <conditionalFormatting sqref="AA39:AA44">
    <cfRule type="cellIs" dxfId="341" priority="359" operator="equal">
      <formula>"Muy Alta"</formula>
    </cfRule>
    <cfRule type="cellIs" dxfId="340" priority="360" operator="equal">
      <formula>"Alta"</formula>
    </cfRule>
    <cfRule type="cellIs" dxfId="339" priority="361" operator="equal">
      <formula>"Media"</formula>
    </cfRule>
    <cfRule type="cellIs" dxfId="338" priority="362" operator="equal">
      <formula>"Baja"</formula>
    </cfRule>
    <cfRule type="cellIs" dxfId="337" priority="363" operator="equal">
      <formula>"Muy Baja"</formula>
    </cfRule>
  </conditionalFormatting>
  <conditionalFormatting sqref="AC39:AC44">
    <cfRule type="cellIs" dxfId="336" priority="354" operator="equal">
      <formula>"Catastrófico"</formula>
    </cfRule>
    <cfRule type="cellIs" dxfId="335" priority="355" operator="equal">
      <formula>"Mayor"</formula>
    </cfRule>
    <cfRule type="cellIs" dxfId="334" priority="356" operator="equal">
      <formula>"Moderado"</formula>
    </cfRule>
    <cfRule type="cellIs" dxfId="333" priority="357" operator="equal">
      <formula>"Menor"</formula>
    </cfRule>
    <cfRule type="cellIs" dxfId="332" priority="358" operator="equal">
      <formula>"Leve"</formula>
    </cfRule>
  </conditionalFormatting>
  <conditionalFormatting sqref="AE39:AE44">
    <cfRule type="cellIs" dxfId="331" priority="350" operator="equal">
      <formula>"Extremo"</formula>
    </cfRule>
    <cfRule type="cellIs" dxfId="330" priority="351" operator="equal">
      <formula>"Alto"</formula>
    </cfRule>
    <cfRule type="cellIs" dxfId="329" priority="352" operator="equal">
      <formula>"Moderado"</formula>
    </cfRule>
    <cfRule type="cellIs" dxfId="328" priority="353" operator="equal">
      <formula>"Bajo"</formula>
    </cfRule>
  </conditionalFormatting>
  <conditionalFormatting sqref="J45">
    <cfRule type="cellIs" dxfId="327" priority="345" operator="equal">
      <formula>"Muy Alta"</formula>
    </cfRule>
    <cfRule type="cellIs" dxfId="326" priority="346" operator="equal">
      <formula>"Alta"</formula>
    </cfRule>
    <cfRule type="cellIs" dxfId="325" priority="347" operator="equal">
      <formula>"Media"</formula>
    </cfRule>
    <cfRule type="cellIs" dxfId="324" priority="348" operator="equal">
      <formula>"Baja"</formula>
    </cfRule>
    <cfRule type="cellIs" dxfId="323" priority="349" operator="equal">
      <formula>"Muy Baja"</formula>
    </cfRule>
  </conditionalFormatting>
  <conditionalFormatting sqref="P45">
    <cfRule type="cellIs" dxfId="322" priority="336" operator="equal">
      <formula>"Extremo"</formula>
    </cfRule>
    <cfRule type="cellIs" dxfId="321" priority="337" operator="equal">
      <formula>"Alto"</formula>
    </cfRule>
    <cfRule type="cellIs" dxfId="320" priority="338" operator="equal">
      <formula>"Moderado"</formula>
    </cfRule>
    <cfRule type="cellIs" dxfId="319" priority="339" operator="equal">
      <formula>"Bajo"</formula>
    </cfRule>
  </conditionalFormatting>
  <conditionalFormatting sqref="AA45:AA50">
    <cfRule type="cellIs" dxfId="318" priority="331" operator="equal">
      <formula>"Muy Alta"</formula>
    </cfRule>
    <cfRule type="cellIs" dxfId="317" priority="332" operator="equal">
      <formula>"Alta"</formula>
    </cfRule>
    <cfRule type="cellIs" dxfId="316" priority="333" operator="equal">
      <formula>"Media"</formula>
    </cfRule>
    <cfRule type="cellIs" dxfId="315" priority="334" operator="equal">
      <formula>"Baja"</formula>
    </cfRule>
    <cfRule type="cellIs" dxfId="314" priority="335" operator="equal">
      <formula>"Muy Baja"</formula>
    </cfRule>
  </conditionalFormatting>
  <conditionalFormatting sqref="AC45:AC50">
    <cfRule type="cellIs" dxfId="313" priority="326" operator="equal">
      <formula>"Catastrófico"</formula>
    </cfRule>
    <cfRule type="cellIs" dxfId="312" priority="327" operator="equal">
      <formula>"Mayor"</formula>
    </cfRule>
    <cfRule type="cellIs" dxfId="311" priority="328" operator="equal">
      <formula>"Moderado"</formula>
    </cfRule>
    <cfRule type="cellIs" dxfId="310" priority="329" operator="equal">
      <formula>"Menor"</formula>
    </cfRule>
    <cfRule type="cellIs" dxfId="309" priority="330" operator="equal">
      <formula>"Leve"</formula>
    </cfRule>
  </conditionalFormatting>
  <conditionalFormatting sqref="AE45:AE50">
    <cfRule type="cellIs" dxfId="308" priority="322" operator="equal">
      <formula>"Extremo"</formula>
    </cfRule>
    <cfRule type="cellIs" dxfId="307" priority="323" operator="equal">
      <formula>"Alto"</formula>
    </cfRule>
    <cfRule type="cellIs" dxfId="306" priority="324" operator="equal">
      <formula>"Moderado"</formula>
    </cfRule>
    <cfRule type="cellIs" dxfId="305" priority="325" operator="equal">
      <formula>"Bajo"</formula>
    </cfRule>
  </conditionalFormatting>
  <conditionalFormatting sqref="J51">
    <cfRule type="cellIs" dxfId="304" priority="317" operator="equal">
      <formula>"Muy Alta"</formula>
    </cfRule>
    <cfRule type="cellIs" dxfId="303" priority="318" operator="equal">
      <formula>"Alta"</formula>
    </cfRule>
    <cfRule type="cellIs" dxfId="302" priority="319" operator="equal">
      <formula>"Media"</formula>
    </cfRule>
    <cfRule type="cellIs" dxfId="301" priority="320" operator="equal">
      <formula>"Baja"</formula>
    </cfRule>
    <cfRule type="cellIs" dxfId="300" priority="321" operator="equal">
      <formula>"Muy Baja"</formula>
    </cfRule>
  </conditionalFormatting>
  <conditionalFormatting sqref="P51">
    <cfRule type="cellIs" dxfId="299" priority="308" operator="equal">
      <formula>"Extremo"</formula>
    </cfRule>
    <cfRule type="cellIs" dxfId="298" priority="309" operator="equal">
      <formula>"Alto"</formula>
    </cfRule>
    <cfRule type="cellIs" dxfId="297" priority="310" operator="equal">
      <formula>"Moderado"</formula>
    </cfRule>
    <cfRule type="cellIs" dxfId="296" priority="311" operator="equal">
      <formula>"Bajo"</formula>
    </cfRule>
  </conditionalFormatting>
  <conditionalFormatting sqref="AA51:AA56">
    <cfRule type="cellIs" dxfId="295" priority="303" operator="equal">
      <formula>"Muy Alta"</formula>
    </cfRule>
    <cfRule type="cellIs" dxfId="294" priority="304" operator="equal">
      <formula>"Alta"</formula>
    </cfRule>
    <cfRule type="cellIs" dxfId="293" priority="305" operator="equal">
      <formula>"Media"</formula>
    </cfRule>
    <cfRule type="cellIs" dxfId="292" priority="306" operator="equal">
      <formula>"Baja"</formula>
    </cfRule>
    <cfRule type="cellIs" dxfId="291" priority="307" operator="equal">
      <formula>"Muy Baja"</formula>
    </cfRule>
  </conditionalFormatting>
  <conditionalFormatting sqref="AC51:AC56">
    <cfRule type="cellIs" dxfId="290" priority="298" operator="equal">
      <formula>"Catastrófico"</formula>
    </cfRule>
    <cfRule type="cellIs" dxfId="289" priority="299" operator="equal">
      <formula>"Mayor"</formula>
    </cfRule>
    <cfRule type="cellIs" dxfId="288" priority="300" operator="equal">
      <formula>"Moderado"</formula>
    </cfRule>
    <cfRule type="cellIs" dxfId="287" priority="301" operator="equal">
      <formula>"Menor"</formula>
    </cfRule>
    <cfRule type="cellIs" dxfId="286" priority="302" operator="equal">
      <formula>"Leve"</formula>
    </cfRule>
  </conditionalFormatting>
  <conditionalFormatting sqref="AE51:AE56">
    <cfRule type="cellIs" dxfId="285" priority="294" operator="equal">
      <formula>"Extremo"</formula>
    </cfRule>
    <cfRule type="cellIs" dxfId="284" priority="295" operator="equal">
      <formula>"Alto"</formula>
    </cfRule>
    <cfRule type="cellIs" dxfId="283" priority="296" operator="equal">
      <formula>"Moderado"</formula>
    </cfRule>
    <cfRule type="cellIs" dxfId="282" priority="297" operator="equal">
      <formula>"Bajo"</formula>
    </cfRule>
  </conditionalFormatting>
  <conditionalFormatting sqref="P57">
    <cfRule type="cellIs" dxfId="281" priority="280" operator="equal">
      <formula>"Extremo"</formula>
    </cfRule>
    <cfRule type="cellIs" dxfId="280" priority="281" operator="equal">
      <formula>"Alto"</formula>
    </cfRule>
    <cfRule type="cellIs" dxfId="279" priority="282" operator="equal">
      <formula>"Moderado"</formula>
    </cfRule>
    <cfRule type="cellIs" dxfId="278" priority="283" operator="equal">
      <formula>"Bajo"</formula>
    </cfRule>
  </conditionalFormatting>
  <conditionalFormatting sqref="AA57:AA62">
    <cfRule type="cellIs" dxfId="277" priority="275" operator="equal">
      <formula>"Muy Alta"</formula>
    </cfRule>
    <cfRule type="cellIs" dxfId="276" priority="276" operator="equal">
      <formula>"Alta"</formula>
    </cfRule>
    <cfRule type="cellIs" dxfId="275" priority="277" operator="equal">
      <formula>"Media"</formula>
    </cfRule>
    <cfRule type="cellIs" dxfId="274" priority="278" operator="equal">
      <formula>"Baja"</formula>
    </cfRule>
    <cfRule type="cellIs" dxfId="273" priority="279" operator="equal">
      <formula>"Muy Baja"</formula>
    </cfRule>
  </conditionalFormatting>
  <conditionalFormatting sqref="AC57:AC62">
    <cfRule type="cellIs" dxfId="272" priority="270" operator="equal">
      <formula>"Catastrófico"</formula>
    </cfRule>
    <cfRule type="cellIs" dxfId="271" priority="271" operator="equal">
      <formula>"Mayor"</formula>
    </cfRule>
    <cfRule type="cellIs" dxfId="270" priority="272" operator="equal">
      <formula>"Moderado"</formula>
    </cfRule>
    <cfRule type="cellIs" dxfId="269" priority="273" operator="equal">
      <formula>"Menor"</formula>
    </cfRule>
    <cfRule type="cellIs" dxfId="268" priority="274" operator="equal">
      <formula>"Leve"</formula>
    </cfRule>
  </conditionalFormatting>
  <conditionalFormatting sqref="AE57:AE62">
    <cfRule type="cellIs" dxfId="267" priority="266" operator="equal">
      <formula>"Extremo"</formula>
    </cfRule>
    <cfRule type="cellIs" dxfId="266" priority="267" operator="equal">
      <formula>"Alto"</formula>
    </cfRule>
    <cfRule type="cellIs" dxfId="265" priority="268" operator="equal">
      <formula>"Moderado"</formula>
    </cfRule>
    <cfRule type="cellIs" dxfId="264" priority="269" operator="equal">
      <formula>"Bajo"</formula>
    </cfRule>
  </conditionalFormatting>
  <conditionalFormatting sqref="J63">
    <cfRule type="cellIs" dxfId="263" priority="261" operator="equal">
      <formula>"Muy Alta"</formula>
    </cfRule>
    <cfRule type="cellIs" dxfId="262" priority="262" operator="equal">
      <formula>"Alta"</formula>
    </cfRule>
    <cfRule type="cellIs" dxfId="261" priority="263" operator="equal">
      <formula>"Media"</formula>
    </cfRule>
    <cfRule type="cellIs" dxfId="260" priority="264" operator="equal">
      <formula>"Baja"</formula>
    </cfRule>
    <cfRule type="cellIs" dxfId="259" priority="265" operator="equal">
      <formula>"Muy Baja"</formula>
    </cfRule>
  </conditionalFormatting>
  <conditionalFormatting sqref="P63">
    <cfRule type="cellIs" dxfId="258" priority="252" operator="equal">
      <formula>"Extremo"</formula>
    </cfRule>
    <cfRule type="cellIs" dxfId="257" priority="253" operator="equal">
      <formula>"Alto"</formula>
    </cfRule>
    <cfRule type="cellIs" dxfId="256" priority="254" operator="equal">
      <formula>"Moderado"</formula>
    </cfRule>
    <cfRule type="cellIs" dxfId="255" priority="255" operator="equal">
      <formula>"Bajo"</formula>
    </cfRule>
  </conditionalFormatting>
  <conditionalFormatting sqref="AA63:AA68">
    <cfRule type="cellIs" dxfId="254" priority="247" operator="equal">
      <formula>"Muy Alta"</formula>
    </cfRule>
    <cfRule type="cellIs" dxfId="253" priority="248" operator="equal">
      <formula>"Alta"</formula>
    </cfRule>
    <cfRule type="cellIs" dxfId="252" priority="249" operator="equal">
      <formula>"Media"</formula>
    </cfRule>
    <cfRule type="cellIs" dxfId="251" priority="250" operator="equal">
      <formula>"Baja"</formula>
    </cfRule>
    <cfRule type="cellIs" dxfId="250" priority="251" operator="equal">
      <formula>"Muy Baja"</formula>
    </cfRule>
  </conditionalFormatting>
  <conditionalFormatting sqref="AC63:AC68">
    <cfRule type="cellIs" dxfId="249" priority="242" operator="equal">
      <formula>"Catastrófico"</formula>
    </cfRule>
    <cfRule type="cellIs" dxfId="248" priority="243" operator="equal">
      <formula>"Mayor"</formula>
    </cfRule>
    <cfRule type="cellIs" dxfId="247" priority="244" operator="equal">
      <formula>"Moderado"</formula>
    </cfRule>
    <cfRule type="cellIs" dxfId="246" priority="245" operator="equal">
      <formula>"Menor"</formula>
    </cfRule>
    <cfRule type="cellIs" dxfId="245" priority="246" operator="equal">
      <formula>"Leve"</formula>
    </cfRule>
  </conditionalFormatting>
  <conditionalFormatting sqref="AE63:AE68">
    <cfRule type="cellIs" dxfId="244" priority="238" operator="equal">
      <formula>"Extremo"</formula>
    </cfRule>
    <cfRule type="cellIs" dxfId="243" priority="239" operator="equal">
      <formula>"Alto"</formula>
    </cfRule>
    <cfRule type="cellIs" dxfId="242" priority="240" operator="equal">
      <formula>"Moderado"</formula>
    </cfRule>
    <cfRule type="cellIs" dxfId="241" priority="241" operator="equal">
      <formula>"Bajo"</formula>
    </cfRule>
  </conditionalFormatting>
  <conditionalFormatting sqref="M9:M68">
    <cfRule type="containsText" dxfId="240" priority="237" operator="containsText" text="❌">
      <formula>NOT(ISERROR(SEARCH("❌",M9)))</formula>
    </cfRule>
  </conditionalFormatting>
  <conditionalFormatting sqref="J69 J75">
    <cfRule type="cellIs" dxfId="239" priority="232" operator="equal">
      <formula>"Muy Alta"</formula>
    </cfRule>
    <cfRule type="cellIs" dxfId="238" priority="233" operator="equal">
      <formula>"Alta"</formula>
    </cfRule>
    <cfRule type="cellIs" dxfId="237" priority="234" operator="equal">
      <formula>"Media"</formula>
    </cfRule>
    <cfRule type="cellIs" dxfId="236" priority="235" operator="equal">
      <formula>"Baja"</formula>
    </cfRule>
    <cfRule type="cellIs" dxfId="235" priority="236" operator="equal">
      <formula>"Muy Baja"</formula>
    </cfRule>
  </conditionalFormatting>
  <conditionalFormatting sqref="N69 N75 N81 N87 N93 N99 N105 N111 N117 N123">
    <cfRule type="cellIs" dxfId="234" priority="227" operator="equal">
      <formula>"Catastrófico"</formula>
    </cfRule>
    <cfRule type="cellIs" dxfId="233" priority="228" operator="equal">
      <formula>"Mayor"</formula>
    </cfRule>
    <cfRule type="cellIs" dxfId="232" priority="229" operator="equal">
      <formula>"Moderado"</formula>
    </cfRule>
    <cfRule type="cellIs" dxfId="231" priority="230" operator="equal">
      <formula>"Menor"</formula>
    </cfRule>
    <cfRule type="cellIs" dxfId="230" priority="231" operator="equal">
      <formula>"Leve"</formula>
    </cfRule>
  </conditionalFormatting>
  <conditionalFormatting sqref="P69">
    <cfRule type="cellIs" dxfId="229" priority="223" operator="equal">
      <formula>"Extremo"</formula>
    </cfRule>
    <cfRule type="cellIs" dxfId="228" priority="224" operator="equal">
      <formula>"Alto"</formula>
    </cfRule>
    <cfRule type="cellIs" dxfId="227" priority="225" operator="equal">
      <formula>"Moderado"</formula>
    </cfRule>
    <cfRule type="cellIs" dxfId="226" priority="226" operator="equal">
      <formula>"Bajo"</formula>
    </cfRule>
  </conditionalFormatting>
  <conditionalFormatting sqref="AA69:AA74">
    <cfRule type="cellIs" dxfId="225" priority="218" operator="equal">
      <formula>"Muy Alta"</formula>
    </cfRule>
    <cfRule type="cellIs" dxfId="224" priority="219" operator="equal">
      <formula>"Alta"</formula>
    </cfRule>
    <cfRule type="cellIs" dxfId="223" priority="220" operator="equal">
      <formula>"Media"</formula>
    </cfRule>
    <cfRule type="cellIs" dxfId="222" priority="221" operator="equal">
      <formula>"Baja"</formula>
    </cfRule>
    <cfRule type="cellIs" dxfId="221" priority="222" operator="equal">
      <formula>"Muy Baja"</formula>
    </cfRule>
  </conditionalFormatting>
  <conditionalFormatting sqref="AC69:AC74">
    <cfRule type="cellIs" dxfId="220" priority="213" operator="equal">
      <formula>"Catastrófico"</formula>
    </cfRule>
    <cfRule type="cellIs" dxfId="219" priority="214" operator="equal">
      <formula>"Mayor"</formula>
    </cfRule>
    <cfRule type="cellIs" dxfId="218" priority="215" operator="equal">
      <formula>"Moderado"</formula>
    </cfRule>
    <cfRule type="cellIs" dxfId="217" priority="216" operator="equal">
      <formula>"Menor"</formula>
    </cfRule>
    <cfRule type="cellIs" dxfId="216" priority="217" operator="equal">
      <formula>"Leve"</formula>
    </cfRule>
  </conditionalFormatting>
  <conditionalFormatting sqref="AE69:AE74">
    <cfRule type="cellIs" dxfId="215" priority="209" operator="equal">
      <formula>"Extremo"</formula>
    </cfRule>
    <cfRule type="cellIs" dxfId="214" priority="210" operator="equal">
      <formula>"Alto"</formula>
    </cfRule>
    <cfRule type="cellIs" dxfId="213" priority="211" operator="equal">
      <formula>"Moderado"</formula>
    </cfRule>
    <cfRule type="cellIs" dxfId="212" priority="212" operator="equal">
      <formula>"Bajo"</formula>
    </cfRule>
  </conditionalFormatting>
  <conditionalFormatting sqref="J117">
    <cfRule type="cellIs" dxfId="211" priority="48" operator="equal">
      <formula>"Muy Alta"</formula>
    </cfRule>
    <cfRule type="cellIs" dxfId="210" priority="49" operator="equal">
      <formula>"Alta"</formula>
    </cfRule>
    <cfRule type="cellIs" dxfId="209" priority="50" operator="equal">
      <formula>"Media"</formula>
    </cfRule>
    <cfRule type="cellIs" dxfId="208" priority="51" operator="equal">
      <formula>"Baja"</formula>
    </cfRule>
    <cfRule type="cellIs" dxfId="207" priority="52" operator="equal">
      <formula>"Muy Baja"</formula>
    </cfRule>
  </conditionalFormatting>
  <conditionalFormatting sqref="P75">
    <cfRule type="cellIs" dxfId="206" priority="205" operator="equal">
      <formula>"Extremo"</formula>
    </cfRule>
    <cfRule type="cellIs" dxfId="205" priority="206" operator="equal">
      <formula>"Alto"</formula>
    </cfRule>
    <cfRule type="cellIs" dxfId="204" priority="207" operator="equal">
      <formula>"Moderado"</formula>
    </cfRule>
    <cfRule type="cellIs" dxfId="203" priority="208" operator="equal">
      <formula>"Bajo"</formula>
    </cfRule>
  </conditionalFormatting>
  <conditionalFormatting sqref="AA75:AA80">
    <cfRule type="cellIs" dxfId="202" priority="200" operator="equal">
      <formula>"Muy Alta"</formula>
    </cfRule>
    <cfRule type="cellIs" dxfId="201" priority="201" operator="equal">
      <formula>"Alta"</formula>
    </cfRule>
    <cfRule type="cellIs" dxfId="200" priority="202" operator="equal">
      <formula>"Media"</formula>
    </cfRule>
    <cfRule type="cellIs" dxfId="199" priority="203" operator="equal">
      <formula>"Baja"</formula>
    </cfRule>
    <cfRule type="cellIs" dxfId="198" priority="204" operator="equal">
      <formula>"Muy Baja"</formula>
    </cfRule>
  </conditionalFormatting>
  <conditionalFormatting sqref="AC75:AC80">
    <cfRule type="cellIs" dxfId="197" priority="195" operator="equal">
      <formula>"Catastrófico"</formula>
    </cfRule>
    <cfRule type="cellIs" dxfId="196" priority="196" operator="equal">
      <formula>"Mayor"</formula>
    </cfRule>
    <cfRule type="cellIs" dxfId="195" priority="197" operator="equal">
      <formula>"Moderado"</formula>
    </cfRule>
    <cfRule type="cellIs" dxfId="194" priority="198" operator="equal">
      <formula>"Menor"</formula>
    </cfRule>
    <cfRule type="cellIs" dxfId="193" priority="199" operator="equal">
      <formula>"Leve"</formula>
    </cfRule>
  </conditionalFormatting>
  <conditionalFormatting sqref="AE75:AE80">
    <cfRule type="cellIs" dxfId="192" priority="191" operator="equal">
      <formula>"Extremo"</formula>
    </cfRule>
    <cfRule type="cellIs" dxfId="191" priority="192" operator="equal">
      <formula>"Alto"</formula>
    </cfRule>
    <cfRule type="cellIs" dxfId="190" priority="193" operator="equal">
      <formula>"Moderado"</formula>
    </cfRule>
    <cfRule type="cellIs" dxfId="189" priority="194" operator="equal">
      <formula>"Bajo"</formula>
    </cfRule>
  </conditionalFormatting>
  <conditionalFormatting sqref="J81">
    <cfRule type="cellIs" dxfId="188" priority="186" operator="equal">
      <formula>"Muy Alta"</formula>
    </cfRule>
    <cfRule type="cellIs" dxfId="187" priority="187" operator="equal">
      <formula>"Alta"</formula>
    </cfRule>
    <cfRule type="cellIs" dxfId="186" priority="188" operator="equal">
      <formula>"Media"</formula>
    </cfRule>
    <cfRule type="cellIs" dxfId="185" priority="189" operator="equal">
      <formula>"Baja"</formula>
    </cfRule>
    <cfRule type="cellIs" dxfId="184" priority="190" operator="equal">
      <formula>"Muy Baja"</formula>
    </cfRule>
  </conditionalFormatting>
  <conditionalFormatting sqref="P81">
    <cfRule type="cellIs" dxfId="183" priority="182" operator="equal">
      <formula>"Extremo"</formula>
    </cfRule>
    <cfRule type="cellIs" dxfId="182" priority="183" operator="equal">
      <formula>"Alto"</formula>
    </cfRule>
    <cfRule type="cellIs" dxfId="181" priority="184" operator="equal">
      <formula>"Moderado"</formula>
    </cfRule>
    <cfRule type="cellIs" dxfId="180" priority="185" operator="equal">
      <formula>"Bajo"</formula>
    </cfRule>
  </conditionalFormatting>
  <conditionalFormatting sqref="AA81:AA86">
    <cfRule type="cellIs" dxfId="179" priority="177" operator="equal">
      <formula>"Muy Alta"</formula>
    </cfRule>
    <cfRule type="cellIs" dxfId="178" priority="178" operator="equal">
      <formula>"Alta"</formula>
    </cfRule>
    <cfRule type="cellIs" dxfId="177" priority="179" operator="equal">
      <formula>"Media"</formula>
    </cfRule>
    <cfRule type="cellIs" dxfId="176" priority="180" operator="equal">
      <formula>"Baja"</formula>
    </cfRule>
    <cfRule type="cellIs" dxfId="175" priority="181" operator="equal">
      <formula>"Muy Baja"</formula>
    </cfRule>
  </conditionalFormatting>
  <conditionalFormatting sqref="AC81:AC86">
    <cfRule type="cellIs" dxfId="174" priority="172" operator="equal">
      <formula>"Catastrófico"</formula>
    </cfRule>
    <cfRule type="cellIs" dxfId="173" priority="173" operator="equal">
      <formula>"Mayor"</formula>
    </cfRule>
    <cfRule type="cellIs" dxfId="172" priority="174" operator="equal">
      <formula>"Moderado"</formula>
    </cfRule>
    <cfRule type="cellIs" dxfId="171" priority="175" operator="equal">
      <formula>"Menor"</formula>
    </cfRule>
    <cfRule type="cellIs" dxfId="170" priority="176" operator="equal">
      <formula>"Leve"</formula>
    </cfRule>
  </conditionalFormatting>
  <conditionalFormatting sqref="AE81:AE86">
    <cfRule type="cellIs" dxfId="169" priority="168" operator="equal">
      <formula>"Extremo"</formula>
    </cfRule>
    <cfRule type="cellIs" dxfId="168" priority="169" operator="equal">
      <formula>"Alto"</formula>
    </cfRule>
    <cfRule type="cellIs" dxfId="167" priority="170" operator="equal">
      <formula>"Moderado"</formula>
    </cfRule>
    <cfRule type="cellIs" dxfId="166" priority="171" operator="equal">
      <formula>"Bajo"</formula>
    </cfRule>
  </conditionalFormatting>
  <conditionalFormatting sqref="J87">
    <cfRule type="cellIs" dxfId="165" priority="163" operator="equal">
      <formula>"Muy Alta"</formula>
    </cfRule>
    <cfRule type="cellIs" dxfId="164" priority="164" operator="equal">
      <formula>"Alta"</formula>
    </cfRule>
    <cfRule type="cellIs" dxfId="163" priority="165" operator="equal">
      <formula>"Media"</formula>
    </cfRule>
    <cfRule type="cellIs" dxfId="162" priority="166" operator="equal">
      <formula>"Baja"</formula>
    </cfRule>
    <cfRule type="cellIs" dxfId="161" priority="167" operator="equal">
      <formula>"Muy Baja"</formula>
    </cfRule>
  </conditionalFormatting>
  <conditionalFormatting sqref="P87">
    <cfRule type="cellIs" dxfId="160" priority="159" operator="equal">
      <formula>"Extremo"</formula>
    </cfRule>
    <cfRule type="cellIs" dxfId="159" priority="160" operator="equal">
      <formula>"Alto"</formula>
    </cfRule>
    <cfRule type="cellIs" dxfId="158" priority="161" operator="equal">
      <formula>"Moderado"</formula>
    </cfRule>
    <cfRule type="cellIs" dxfId="157" priority="162" operator="equal">
      <formula>"Bajo"</formula>
    </cfRule>
  </conditionalFormatting>
  <conditionalFormatting sqref="AA87:AA92">
    <cfRule type="cellIs" dxfId="156" priority="154" operator="equal">
      <formula>"Muy Alta"</formula>
    </cfRule>
    <cfRule type="cellIs" dxfId="155" priority="155" operator="equal">
      <formula>"Alta"</formula>
    </cfRule>
    <cfRule type="cellIs" dxfId="154" priority="156" operator="equal">
      <formula>"Media"</formula>
    </cfRule>
    <cfRule type="cellIs" dxfId="153" priority="157" operator="equal">
      <formula>"Baja"</formula>
    </cfRule>
    <cfRule type="cellIs" dxfId="152" priority="158" operator="equal">
      <formula>"Muy Baja"</formula>
    </cfRule>
  </conditionalFormatting>
  <conditionalFormatting sqref="AC87:AC92">
    <cfRule type="cellIs" dxfId="151" priority="149" operator="equal">
      <formula>"Catastrófico"</formula>
    </cfRule>
    <cfRule type="cellIs" dxfId="150" priority="150" operator="equal">
      <formula>"Mayor"</formula>
    </cfRule>
    <cfRule type="cellIs" dxfId="149" priority="151" operator="equal">
      <formula>"Moderado"</formula>
    </cfRule>
    <cfRule type="cellIs" dxfId="148" priority="152" operator="equal">
      <formula>"Menor"</formula>
    </cfRule>
    <cfRule type="cellIs" dxfId="147" priority="153" operator="equal">
      <formula>"Leve"</formula>
    </cfRule>
  </conditionalFormatting>
  <conditionalFormatting sqref="AE87:AE92">
    <cfRule type="cellIs" dxfId="146" priority="145" operator="equal">
      <formula>"Extremo"</formula>
    </cfRule>
    <cfRule type="cellIs" dxfId="145" priority="146" operator="equal">
      <formula>"Alto"</formula>
    </cfRule>
    <cfRule type="cellIs" dxfId="144" priority="147" operator="equal">
      <formula>"Moderado"</formula>
    </cfRule>
    <cfRule type="cellIs" dxfId="143" priority="148" operator="equal">
      <formula>"Bajo"</formula>
    </cfRule>
  </conditionalFormatting>
  <conditionalFormatting sqref="J93">
    <cfRule type="cellIs" dxfId="142" priority="140" operator="equal">
      <formula>"Muy Alta"</formula>
    </cfRule>
    <cfRule type="cellIs" dxfId="141" priority="141" operator="equal">
      <formula>"Alta"</formula>
    </cfRule>
    <cfRule type="cellIs" dxfId="140" priority="142" operator="equal">
      <formula>"Media"</formula>
    </cfRule>
    <cfRule type="cellIs" dxfId="139" priority="143" operator="equal">
      <formula>"Baja"</formula>
    </cfRule>
    <cfRule type="cellIs" dxfId="138" priority="144" operator="equal">
      <formula>"Muy Baja"</formula>
    </cfRule>
  </conditionalFormatting>
  <conditionalFormatting sqref="P93">
    <cfRule type="cellIs" dxfId="137" priority="136" operator="equal">
      <formula>"Extremo"</formula>
    </cfRule>
    <cfRule type="cellIs" dxfId="136" priority="137" operator="equal">
      <formula>"Alto"</formula>
    </cfRule>
    <cfRule type="cellIs" dxfId="135" priority="138" operator="equal">
      <formula>"Moderado"</formula>
    </cfRule>
    <cfRule type="cellIs" dxfId="134" priority="139" operator="equal">
      <formula>"Bajo"</formula>
    </cfRule>
  </conditionalFormatting>
  <conditionalFormatting sqref="AA93:AA98">
    <cfRule type="cellIs" dxfId="133" priority="131" operator="equal">
      <formula>"Muy Alta"</formula>
    </cfRule>
    <cfRule type="cellIs" dxfId="132" priority="132" operator="equal">
      <formula>"Alta"</formula>
    </cfRule>
    <cfRule type="cellIs" dxfId="131" priority="133" operator="equal">
      <formula>"Media"</formula>
    </cfRule>
    <cfRule type="cellIs" dxfId="130" priority="134" operator="equal">
      <formula>"Baja"</formula>
    </cfRule>
    <cfRule type="cellIs" dxfId="129" priority="135" operator="equal">
      <formula>"Muy Baja"</formula>
    </cfRule>
  </conditionalFormatting>
  <conditionalFormatting sqref="AC93:AC98">
    <cfRule type="cellIs" dxfId="128" priority="126" operator="equal">
      <formula>"Catastrófico"</formula>
    </cfRule>
    <cfRule type="cellIs" dxfId="127" priority="127" operator="equal">
      <formula>"Mayor"</formula>
    </cfRule>
    <cfRule type="cellIs" dxfId="126" priority="128" operator="equal">
      <formula>"Moderado"</formula>
    </cfRule>
    <cfRule type="cellIs" dxfId="125" priority="129" operator="equal">
      <formula>"Menor"</formula>
    </cfRule>
    <cfRule type="cellIs" dxfId="124" priority="130" operator="equal">
      <formula>"Leve"</formula>
    </cfRule>
  </conditionalFormatting>
  <conditionalFormatting sqref="AE93:AE98">
    <cfRule type="cellIs" dxfId="123" priority="122" operator="equal">
      <formula>"Extremo"</formula>
    </cfRule>
    <cfRule type="cellIs" dxfId="122" priority="123" operator="equal">
      <formula>"Alto"</formula>
    </cfRule>
    <cfRule type="cellIs" dxfId="121" priority="124" operator="equal">
      <formula>"Moderado"</formula>
    </cfRule>
    <cfRule type="cellIs" dxfId="120" priority="125" operator="equal">
      <formula>"Bajo"</formula>
    </cfRule>
  </conditionalFormatting>
  <conditionalFormatting sqref="J99">
    <cfRule type="cellIs" dxfId="119" priority="117" operator="equal">
      <formula>"Muy Alta"</formula>
    </cfRule>
    <cfRule type="cellIs" dxfId="118" priority="118" operator="equal">
      <formula>"Alta"</formula>
    </cfRule>
    <cfRule type="cellIs" dxfId="117" priority="119" operator="equal">
      <formula>"Media"</formula>
    </cfRule>
    <cfRule type="cellIs" dxfId="116" priority="120" operator="equal">
      <formula>"Baja"</formula>
    </cfRule>
    <cfRule type="cellIs" dxfId="115" priority="121" operator="equal">
      <formula>"Muy Baja"</formula>
    </cfRule>
  </conditionalFormatting>
  <conditionalFormatting sqref="P99">
    <cfRule type="cellIs" dxfId="114" priority="113" operator="equal">
      <formula>"Extremo"</formula>
    </cfRule>
    <cfRule type="cellIs" dxfId="113" priority="114" operator="equal">
      <formula>"Alto"</formula>
    </cfRule>
    <cfRule type="cellIs" dxfId="112" priority="115" operator="equal">
      <formula>"Moderado"</formula>
    </cfRule>
    <cfRule type="cellIs" dxfId="111" priority="116" operator="equal">
      <formula>"Bajo"</formula>
    </cfRule>
  </conditionalFormatting>
  <conditionalFormatting sqref="AA99:AA104">
    <cfRule type="cellIs" dxfId="110" priority="108" operator="equal">
      <formula>"Muy Alta"</formula>
    </cfRule>
    <cfRule type="cellIs" dxfId="109" priority="109" operator="equal">
      <formula>"Alta"</formula>
    </cfRule>
    <cfRule type="cellIs" dxfId="108" priority="110" operator="equal">
      <formula>"Media"</formula>
    </cfRule>
    <cfRule type="cellIs" dxfId="107" priority="111" operator="equal">
      <formula>"Baja"</formula>
    </cfRule>
    <cfRule type="cellIs" dxfId="106" priority="112" operator="equal">
      <formula>"Muy Baja"</formula>
    </cfRule>
  </conditionalFormatting>
  <conditionalFormatting sqref="AC99:AC104">
    <cfRule type="cellIs" dxfId="105" priority="103" operator="equal">
      <formula>"Catastrófico"</formula>
    </cfRule>
    <cfRule type="cellIs" dxfId="104" priority="104" operator="equal">
      <formula>"Mayor"</formula>
    </cfRule>
    <cfRule type="cellIs" dxfId="103" priority="105" operator="equal">
      <formula>"Moderado"</formula>
    </cfRule>
    <cfRule type="cellIs" dxfId="102" priority="106" operator="equal">
      <formula>"Menor"</formula>
    </cfRule>
    <cfRule type="cellIs" dxfId="101" priority="107" operator="equal">
      <formula>"Leve"</formula>
    </cfRule>
  </conditionalFormatting>
  <conditionalFormatting sqref="AE99:AE104">
    <cfRule type="cellIs" dxfId="100" priority="99" operator="equal">
      <formula>"Extremo"</formula>
    </cfRule>
    <cfRule type="cellIs" dxfId="99" priority="100" operator="equal">
      <formula>"Alto"</formula>
    </cfRule>
    <cfRule type="cellIs" dxfId="98" priority="101" operator="equal">
      <formula>"Moderado"</formula>
    </cfRule>
    <cfRule type="cellIs" dxfId="97" priority="102" operator="equal">
      <formula>"Bajo"</formula>
    </cfRule>
  </conditionalFormatting>
  <conditionalFormatting sqref="J105">
    <cfRule type="cellIs" dxfId="96" priority="94" operator="equal">
      <formula>"Muy Alta"</formula>
    </cfRule>
    <cfRule type="cellIs" dxfId="95" priority="95" operator="equal">
      <formula>"Alta"</formula>
    </cfRule>
    <cfRule type="cellIs" dxfId="94" priority="96" operator="equal">
      <formula>"Media"</formula>
    </cfRule>
    <cfRule type="cellIs" dxfId="93" priority="97" operator="equal">
      <formula>"Baja"</formula>
    </cfRule>
    <cfRule type="cellIs" dxfId="92" priority="98" operator="equal">
      <formula>"Muy Baja"</formula>
    </cfRule>
  </conditionalFormatting>
  <conditionalFormatting sqref="P105">
    <cfRule type="cellIs" dxfId="91" priority="90" operator="equal">
      <formula>"Extremo"</formula>
    </cfRule>
    <cfRule type="cellIs" dxfId="90" priority="91" operator="equal">
      <formula>"Alto"</formula>
    </cfRule>
    <cfRule type="cellIs" dxfId="89" priority="92" operator="equal">
      <formula>"Moderado"</formula>
    </cfRule>
    <cfRule type="cellIs" dxfId="88" priority="93" operator="equal">
      <formula>"Bajo"</formula>
    </cfRule>
  </conditionalFormatting>
  <conditionalFormatting sqref="AA105:AA110">
    <cfRule type="cellIs" dxfId="87" priority="85" operator="equal">
      <formula>"Muy Alta"</formula>
    </cfRule>
    <cfRule type="cellIs" dxfId="86" priority="86" operator="equal">
      <formula>"Alta"</formula>
    </cfRule>
    <cfRule type="cellIs" dxfId="85" priority="87" operator="equal">
      <formula>"Media"</formula>
    </cfRule>
    <cfRule type="cellIs" dxfId="84" priority="88" operator="equal">
      <formula>"Baja"</formula>
    </cfRule>
    <cfRule type="cellIs" dxfId="83" priority="89" operator="equal">
      <formula>"Muy Baja"</formula>
    </cfRule>
  </conditionalFormatting>
  <conditionalFormatting sqref="AC105:AC110">
    <cfRule type="cellIs" dxfId="82" priority="80" operator="equal">
      <formula>"Catastrófico"</formula>
    </cfRule>
    <cfRule type="cellIs" dxfId="81" priority="81" operator="equal">
      <formula>"Mayor"</formula>
    </cfRule>
    <cfRule type="cellIs" dxfId="80" priority="82" operator="equal">
      <formula>"Moderado"</formula>
    </cfRule>
    <cfRule type="cellIs" dxfId="79" priority="83" operator="equal">
      <formula>"Menor"</formula>
    </cfRule>
    <cfRule type="cellIs" dxfId="78" priority="84" operator="equal">
      <formula>"Leve"</formula>
    </cfRule>
  </conditionalFormatting>
  <conditionalFormatting sqref="AE105:AE110">
    <cfRule type="cellIs" dxfId="77" priority="76" operator="equal">
      <formula>"Extremo"</formula>
    </cfRule>
    <cfRule type="cellIs" dxfId="76" priority="77" operator="equal">
      <formula>"Alto"</formula>
    </cfRule>
    <cfRule type="cellIs" dxfId="75" priority="78" operator="equal">
      <formula>"Moderado"</formula>
    </cfRule>
    <cfRule type="cellIs" dxfId="74" priority="79" operator="equal">
      <formula>"Bajo"</formula>
    </cfRule>
  </conditionalFormatting>
  <conditionalFormatting sqref="J111">
    <cfRule type="cellIs" dxfId="73" priority="71" operator="equal">
      <formula>"Muy Alta"</formula>
    </cfRule>
    <cfRule type="cellIs" dxfId="72" priority="72" operator="equal">
      <formula>"Alta"</formula>
    </cfRule>
    <cfRule type="cellIs" dxfId="71" priority="73" operator="equal">
      <formula>"Media"</formula>
    </cfRule>
    <cfRule type="cellIs" dxfId="70" priority="74" operator="equal">
      <formula>"Baja"</formula>
    </cfRule>
    <cfRule type="cellIs" dxfId="69" priority="75" operator="equal">
      <formula>"Muy Baja"</formula>
    </cfRule>
  </conditionalFormatting>
  <conditionalFormatting sqref="P111">
    <cfRule type="cellIs" dxfId="68" priority="67" operator="equal">
      <formula>"Extremo"</formula>
    </cfRule>
    <cfRule type="cellIs" dxfId="67" priority="68" operator="equal">
      <formula>"Alto"</formula>
    </cfRule>
    <cfRule type="cellIs" dxfId="66" priority="69" operator="equal">
      <formula>"Moderado"</formula>
    </cfRule>
    <cfRule type="cellIs" dxfId="65" priority="70" operator="equal">
      <formula>"Bajo"</formula>
    </cfRule>
  </conditionalFormatting>
  <conditionalFormatting sqref="AA111:AA116">
    <cfRule type="cellIs" dxfId="64" priority="62" operator="equal">
      <formula>"Muy Alta"</formula>
    </cfRule>
    <cfRule type="cellIs" dxfId="63" priority="63" operator="equal">
      <formula>"Alta"</formula>
    </cfRule>
    <cfRule type="cellIs" dxfId="62" priority="64" operator="equal">
      <formula>"Media"</formula>
    </cfRule>
    <cfRule type="cellIs" dxfId="61" priority="65" operator="equal">
      <formula>"Baja"</formula>
    </cfRule>
    <cfRule type="cellIs" dxfId="60" priority="66" operator="equal">
      <formula>"Muy Baja"</formula>
    </cfRule>
  </conditionalFormatting>
  <conditionalFormatting sqref="AC111:AC116">
    <cfRule type="cellIs" dxfId="59" priority="57" operator="equal">
      <formula>"Catastrófico"</formula>
    </cfRule>
    <cfRule type="cellIs" dxfId="58" priority="58" operator="equal">
      <formula>"Mayor"</formula>
    </cfRule>
    <cfRule type="cellIs" dxfId="57" priority="59" operator="equal">
      <formula>"Moderado"</formula>
    </cfRule>
    <cfRule type="cellIs" dxfId="56" priority="60" operator="equal">
      <formula>"Menor"</formula>
    </cfRule>
    <cfRule type="cellIs" dxfId="55" priority="61" operator="equal">
      <formula>"Leve"</formula>
    </cfRule>
  </conditionalFormatting>
  <conditionalFormatting sqref="AE111:AE116">
    <cfRule type="cellIs" dxfId="54" priority="53" operator="equal">
      <formula>"Extremo"</formula>
    </cfRule>
    <cfRule type="cellIs" dxfId="53" priority="54" operator="equal">
      <formula>"Alto"</formula>
    </cfRule>
    <cfRule type="cellIs" dxfId="52" priority="55" operator="equal">
      <formula>"Moderado"</formula>
    </cfRule>
    <cfRule type="cellIs" dxfId="51" priority="56" operator="equal">
      <formula>"Bajo"</formula>
    </cfRule>
  </conditionalFormatting>
  <conditionalFormatting sqref="P117">
    <cfRule type="cellIs" dxfId="50" priority="44" operator="equal">
      <formula>"Extremo"</formula>
    </cfRule>
    <cfRule type="cellIs" dxfId="49" priority="45" operator="equal">
      <formula>"Alto"</formula>
    </cfRule>
    <cfRule type="cellIs" dxfId="48" priority="46" operator="equal">
      <formula>"Moderado"</formula>
    </cfRule>
    <cfRule type="cellIs" dxfId="47" priority="47" operator="equal">
      <formula>"Bajo"</formula>
    </cfRule>
  </conditionalFormatting>
  <conditionalFormatting sqref="AA117:AA122">
    <cfRule type="cellIs" dxfId="46" priority="39" operator="equal">
      <formula>"Muy Alta"</formula>
    </cfRule>
    <cfRule type="cellIs" dxfId="45" priority="40" operator="equal">
      <formula>"Alta"</formula>
    </cfRule>
    <cfRule type="cellIs" dxfId="44" priority="41" operator="equal">
      <formula>"Media"</formula>
    </cfRule>
    <cfRule type="cellIs" dxfId="43" priority="42" operator="equal">
      <formula>"Baja"</formula>
    </cfRule>
    <cfRule type="cellIs" dxfId="42" priority="43" operator="equal">
      <formula>"Muy Baja"</formula>
    </cfRule>
  </conditionalFormatting>
  <conditionalFormatting sqref="AC117:AC122">
    <cfRule type="cellIs" dxfId="41" priority="34" operator="equal">
      <formula>"Catastrófico"</formula>
    </cfRule>
    <cfRule type="cellIs" dxfId="40" priority="35" operator="equal">
      <formula>"Mayor"</formula>
    </cfRule>
    <cfRule type="cellIs" dxfId="39" priority="36" operator="equal">
      <formula>"Moderado"</formula>
    </cfRule>
    <cfRule type="cellIs" dxfId="38" priority="37" operator="equal">
      <formula>"Menor"</formula>
    </cfRule>
    <cfRule type="cellIs" dxfId="37" priority="38" operator="equal">
      <formula>"Leve"</formula>
    </cfRule>
  </conditionalFormatting>
  <conditionalFormatting sqref="AE117:AE122">
    <cfRule type="cellIs" dxfId="36" priority="30" operator="equal">
      <formula>"Extremo"</formula>
    </cfRule>
    <cfRule type="cellIs" dxfId="35" priority="31" operator="equal">
      <formula>"Alto"</formula>
    </cfRule>
    <cfRule type="cellIs" dxfId="34" priority="32" operator="equal">
      <formula>"Moderado"</formula>
    </cfRule>
    <cfRule type="cellIs" dxfId="33" priority="33" operator="equal">
      <formula>"Bajo"</formula>
    </cfRule>
  </conditionalFormatting>
  <conditionalFormatting sqref="J123">
    <cfRule type="cellIs" dxfId="32" priority="25" operator="equal">
      <formula>"Muy Alta"</formula>
    </cfRule>
    <cfRule type="cellIs" dxfId="31" priority="26" operator="equal">
      <formula>"Alta"</formula>
    </cfRule>
    <cfRule type="cellIs" dxfId="30" priority="27" operator="equal">
      <formula>"Media"</formula>
    </cfRule>
    <cfRule type="cellIs" dxfId="29" priority="28" operator="equal">
      <formula>"Baja"</formula>
    </cfRule>
    <cfRule type="cellIs" dxfId="28" priority="29" operator="equal">
      <formula>"Muy Baja"</formula>
    </cfRule>
  </conditionalFormatting>
  <conditionalFormatting sqref="P123">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AA123:AA128">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C123:AC128">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E123:AE128">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M69:M128">
    <cfRule type="containsText" dxfId="9" priority="6" operator="containsText" text="❌">
      <formula>NOT(ISERROR(SEARCH("❌",M69)))</formula>
    </cfRule>
  </conditionalFormatting>
  <conditionalFormatting sqref="J9">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dataValidations count="8">
    <dataValidation type="list" allowBlank="1" showInputMessage="1" showErrorMessage="1" sqref="L130">
      <formula1>"Insignificante, Menor, Moderado, Mayor, Crítico"</formula1>
    </dataValidation>
    <dataValidation type="list" allowBlank="1" showInputMessage="1" showErrorMessage="1" sqref="S130">
      <formula1>"Preventivo, Detectivo, Correctivo"</formula1>
    </dataValidation>
    <dataValidation type="list" allowBlank="1" showInputMessage="1" showErrorMessage="1" sqref="T130">
      <formula1>"Autómatico, Manual"</formula1>
    </dataValidation>
    <dataValidation type="list" allowBlank="1" showInputMessage="1" showErrorMessage="1" sqref="V130">
      <formula1>"Documentado, Sin documentar"</formula1>
    </dataValidation>
    <dataValidation type="list" allowBlank="1" showInputMessage="1" showErrorMessage="1" sqref="W130">
      <formula1>"Continua, Aleatoria "</formula1>
    </dataValidation>
    <dataValidation type="list" allowBlank="1" showInputMessage="1" showErrorMessage="1" sqref="X130">
      <formula1>"Con resgistro, Sin registro"</formula1>
    </dataValidation>
    <dataValidation type="list" allowBlank="1" showInputMessage="1" showErrorMessage="1" sqref="G9:G1048576 G1:G2 G6">
      <formula1>"Estratégicos, Imagen, Operativos, Financieros,Cumplimiento,Tecnológicos, Fraude, Corrupción, Imparcialidad, Confidencialidad, Seguridad de la información "</formula1>
    </dataValidation>
    <dataValidation type="list" allowBlank="1" showInputMessage="1" showErrorMessage="1" sqref="H6 H1:H2 H9:H27 H33:H1048576">
      <formula1>"Positivo (Oportunidad) , Negativo (Amenaza)"</formula1>
    </dataValidation>
  </dataValidations>
  <pageMargins left="0.7" right="0.7" top="0.75" bottom="0.75" header="0.3" footer="0.3"/>
  <pageSetup orientation="portrait" r:id="rId1"/>
  <ignoredErrors>
    <ignoredError sqref="AD11" formula="1"/>
  </ignoredErrors>
  <extLst>
    <ext xmlns:x14="http://schemas.microsoft.com/office/spreadsheetml/2009/9/main" uri="{CCE6A557-97BC-4b89-ADB6-D9C93CAAB3DF}">
      <x14:dataValidations xmlns:xm="http://schemas.microsoft.com/office/excel/2006/main" count="14">
        <x14:dataValidation type="list" allowBlank="1" showInputMessage="1" showErrorMessage="1">
          <x14:formula1>
            <xm:f>'Tabla Valoración controles'!$D$4:$D$6</xm:f>
          </x14:formula1>
          <xm:sqref>T9:T128</xm:sqref>
        </x14:dataValidation>
        <x14:dataValidation type="list" allowBlank="1" showInputMessage="1" showErrorMessage="1">
          <x14:formula1>
            <xm:f>'Tabla Valoración controles'!$D$7:$D$8</xm:f>
          </x14:formula1>
          <xm:sqref>U9:U128</xm:sqref>
        </x14:dataValidation>
        <x14:dataValidation type="list" allowBlank="1" showInputMessage="1" showErrorMessage="1">
          <x14:formula1>
            <xm:f>'Tabla Valoración controles'!$D$9:$D$10</xm:f>
          </x14:formula1>
          <xm:sqref>W9:W128</xm:sqref>
        </x14:dataValidation>
        <x14:dataValidation type="list" allowBlank="1" showInputMessage="1" showErrorMessage="1">
          <x14:formula1>
            <xm:f>'Tabla Valoración controles'!$D$11:$D$12</xm:f>
          </x14:formula1>
          <xm:sqref>X9:X128</xm:sqref>
        </x14:dataValidation>
        <x14:dataValidation type="list" allowBlank="1" showInputMessage="1" showErrorMessage="1">
          <x14:formula1>
            <xm:f>'Opciones Tratamiento'!$B$9:$B$10</xm:f>
          </x14:formula1>
          <xm:sqref>AL9:AL10 AL12:AL13 AL15:AL16 AL18:AL19 AL21:AL22 AL24:AL25 AL27:AL28 AL30:AL31 AL33:AL34 AL36:AL37 AL39:AL40 AL42:AL43 AL45:AL46 AL48:AL49 AL51:AL52 AL54:AL55 AL57:AL58 AL60:AL61 AL63:AL64 AL66:AL67 AL69:AL70 AL72:AL73 AL75:AL76 AL78:AL79 AL81:AL82 AL84:AL85 AL87:AL88 AL90:AL91 AL93:AL94 AL96:AL97 AL99:AL100 AL102:AL103 AL105:AL106 AL108:AL109 AL111:AL112 AL114:AL115 AL117:AL118 AL120:AL121 AL123:AL124 AL126:AL127</xm:sqref>
        </x14:dataValidation>
        <x14:dataValidation type="list" allowBlank="1" showInputMessage="1" showErrorMessage="1">
          <x14:formula1>
            <xm:f>'Tabla Valoración controles'!$D$13:$D$14</xm:f>
          </x14:formula1>
          <xm:sqref>Y9:Y128</xm:sqref>
        </x14:dataValidation>
        <x14:dataValidation type="list" allowBlank="1" showInputMessage="1" showErrorMessage="1">
          <x14:formula1>
            <xm:f>'Opciones Tratamiento'!$B$2:$B$5</xm:f>
          </x14:formula1>
          <xm:sqref>AF9:AF128</xm:sqref>
        </x14:dataValidation>
        <x14:dataValidation type="list" allowBlank="1" showInputMessage="1" showErrorMessage="1">
          <x14:formula1>
            <xm:f>'Tabla Impacto'!$F$210:$F$221</xm:f>
          </x14:formula1>
          <xm:sqref>L9:L128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AG9:AG128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AH9:AH128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AI9:AI128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AJ9:AJ128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AK9 AK11:AK128</xm:sqref>
        </x14:dataValidation>
        <x14:dataValidation type="custom" allowBlank="1" showInputMessage="1" showErrorMessage="1" error="Recuerde que las acciones se generan bajo la medida de mitigar el riesgo">
          <x14:formula1>
            <xm:f>IF(OR(AF10='[1]Opciones Tratamiento'!#REF!,AF10='[1]Opciones Tratamiento'!#REF!,AF10='[1]Opciones Tratamiento'!#REF!),ISBLANK(AF10),ISTEXT(AF10))</xm:f>
          </x14:formula1>
          <xm:sqref>AK10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U140"/>
  <sheetViews>
    <sheetView topLeftCell="A4" zoomScale="50" zoomScaleNormal="50" workbookViewId="0">
      <selection activeCell="P32" sqref="P32:U37"/>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30" t="s">
        <v>153</v>
      </c>
      <c r="C2" s="230"/>
      <c r="D2" s="230"/>
      <c r="E2" s="230"/>
      <c r="F2" s="230"/>
      <c r="G2" s="230"/>
      <c r="H2" s="230"/>
      <c r="I2" s="230"/>
      <c r="J2" s="268" t="s">
        <v>2</v>
      </c>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30"/>
      <c r="C3" s="230"/>
      <c r="D3" s="230"/>
      <c r="E3" s="230"/>
      <c r="F3" s="230"/>
      <c r="G3" s="230"/>
      <c r="H3" s="230"/>
      <c r="I3" s="230"/>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30"/>
      <c r="C4" s="230"/>
      <c r="D4" s="230"/>
      <c r="E4" s="230"/>
      <c r="F4" s="230"/>
      <c r="G4" s="230"/>
      <c r="H4" s="230"/>
      <c r="I4" s="230"/>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80" t="s">
        <v>3</v>
      </c>
      <c r="C6" s="280"/>
      <c r="D6" s="281"/>
      <c r="E6" s="269" t="s">
        <v>112</v>
      </c>
      <c r="F6" s="270"/>
      <c r="G6" s="270"/>
      <c r="H6" s="270"/>
      <c r="I6" s="271"/>
      <c r="J6" s="265" t="str">
        <f>IF(AND('Mapa final'!$J$9="Muy Alta",'Mapa final'!$N$9="Leve"),CONCATENATE("R",'Mapa final'!$A$9),"")</f>
        <v/>
      </c>
      <c r="K6" s="266"/>
      <c r="L6" s="266" t="str">
        <f ca="1">IF(AND('Mapa final'!$J$15="Muy Alta",'Mapa final'!$N$15="Leve"),CONCATENATE("R",'Mapa final'!$A$15),"")</f>
        <v/>
      </c>
      <c r="M6" s="266"/>
      <c r="N6" s="266" t="str">
        <f ca="1">IF(AND('Mapa final'!$J$21="Muy Alta",'Mapa final'!$N$21="Leve"),CONCATENATE("R",'Mapa final'!$A$21),"")</f>
        <v/>
      </c>
      <c r="O6" s="267"/>
      <c r="P6" s="265" t="str">
        <f>IF(AND('Mapa final'!$J$9="Muy Alta",'Mapa final'!$N$9="Menor"),CONCATENATE("R",'Mapa final'!$A$9),"")</f>
        <v/>
      </c>
      <c r="Q6" s="266"/>
      <c r="R6" s="266" t="str">
        <f ca="1">IF(AND('Mapa final'!$J$15="Muy Alta",'Mapa final'!$N$15="Menor"),CONCATENATE("R",'Mapa final'!$A$15),"")</f>
        <v/>
      </c>
      <c r="S6" s="266"/>
      <c r="T6" s="266" t="str">
        <f ca="1">IF(AND('Mapa final'!$J$21="Muy Alta",'Mapa final'!$N$21="Menor"),CONCATENATE("R",'Mapa final'!$A$21),"")</f>
        <v/>
      </c>
      <c r="U6" s="267"/>
      <c r="V6" s="265" t="str">
        <f>IF(AND('Mapa final'!$J$9="Muy Alta",'Mapa final'!$N$9="Moderado"),CONCATENATE("R",'Mapa final'!$A$9),"")</f>
        <v/>
      </c>
      <c r="W6" s="266"/>
      <c r="X6" s="266" t="str">
        <f ca="1">IF(AND('Mapa final'!$J$15="Muy Alta",'Mapa final'!$N$15="Moderado"),CONCATENATE("R",'Mapa final'!$A$15),"")</f>
        <v/>
      </c>
      <c r="Y6" s="266"/>
      <c r="Z6" s="266" t="str">
        <f ca="1">IF(AND('Mapa final'!$J$21="Muy Alta",'Mapa final'!$N$21="Moderado"),CONCATENATE("R",'Mapa final'!$A$21),"")</f>
        <v/>
      </c>
      <c r="AA6" s="267"/>
      <c r="AB6" s="265" t="str">
        <f>IF(AND('Mapa final'!$J$9="Muy Alta",'Mapa final'!$N$9="Mayor"),CONCATENATE("R",'Mapa final'!$A$9),"")</f>
        <v/>
      </c>
      <c r="AC6" s="266"/>
      <c r="AD6" s="266" t="str">
        <f ca="1">IF(AND('Mapa final'!$J$15="Muy Alta",'Mapa final'!$N$15="Mayor"),CONCATENATE("R",'Mapa final'!$A$15),"")</f>
        <v/>
      </c>
      <c r="AE6" s="266"/>
      <c r="AF6" s="266" t="str">
        <f ca="1">IF(AND('Mapa final'!$J$21="Muy Alta",'Mapa final'!$N$21="Mayor"),CONCATENATE("R",'Mapa final'!$A$21),"")</f>
        <v/>
      </c>
      <c r="AG6" s="267"/>
      <c r="AH6" s="255" t="str">
        <f>IF(AND('Mapa final'!$J$9="Muy Alta",'Mapa final'!$N$9="Catastrófico"),CONCATENATE("R",'Mapa final'!$A$9),"")</f>
        <v/>
      </c>
      <c r="AI6" s="256"/>
      <c r="AJ6" s="256" t="str">
        <f ca="1">IF(AND('Mapa final'!$J$15="Muy Alta",'Mapa final'!$N$15="Catastrófico"),CONCATENATE("R",'Mapa final'!$A$15),"")</f>
        <v/>
      </c>
      <c r="AK6" s="256"/>
      <c r="AL6" s="256" t="str">
        <f ca="1">IF(AND('Mapa final'!$J$21="Muy Alta",'Mapa final'!$N$21="Catastrófico"),CONCATENATE("R",'Mapa final'!$A$21),"")</f>
        <v/>
      </c>
      <c r="AM6" s="257"/>
      <c r="AO6" s="282" t="s">
        <v>75</v>
      </c>
      <c r="AP6" s="283"/>
      <c r="AQ6" s="283"/>
      <c r="AR6" s="283"/>
      <c r="AS6" s="283"/>
      <c r="AT6" s="284"/>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80"/>
      <c r="C7" s="280"/>
      <c r="D7" s="281"/>
      <c r="E7" s="272"/>
      <c r="F7" s="273"/>
      <c r="G7" s="273"/>
      <c r="H7" s="273"/>
      <c r="I7" s="274"/>
      <c r="J7" s="258"/>
      <c r="K7" s="259"/>
      <c r="L7" s="259"/>
      <c r="M7" s="259"/>
      <c r="N7" s="259"/>
      <c r="O7" s="261"/>
      <c r="P7" s="258"/>
      <c r="Q7" s="259"/>
      <c r="R7" s="259"/>
      <c r="S7" s="259"/>
      <c r="T7" s="259"/>
      <c r="U7" s="261"/>
      <c r="V7" s="258"/>
      <c r="W7" s="259"/>
      <c r="X7" s="259"/>
      <c r="Y7" s="259"/>
      <c r="Z7" s="259"/>
      <c r="AA7" s="261"/>
      <c r="AB7" s="258"/>
      <c r="AC7" s="259"/>
      <c r="AD7" s="259"/>
      <c r="AE7" s="259"/>
      <c r="AF7" s="259"/>
      <c r="AG7" s="261"/>
      <c r="AH7" s="249"/>
      <c r="AI7" s="250"/>
      <c r="AJ7" s="250"/>
      <c r="AK7" s="250"/>
      <c r="AL7" s="250"/>
      <c r="AM7" s="251"/>
      <c r="AN7" s="70"/>
      <c r="AO7" s="285"/>
      <c r="AP7" s="286"/>
      <c r="AQ7" s="286"/>
      <c r="AR7" s="286"/>
      <c r="AS7" s="286"/>
      <c r="AT7" s="287"/>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80"/>
      <c r="C8" s="280"/>
      <c r="D8" s="281"/>
      <c r="E8" s="272"/>
      <c r="F8" s="273"/>
      <c r="G8" s="273"/>
      <c r="H8" s="273"/>
      <c r="I8" s="274"/>
      <c r="J8" s="258" t="str">
        <f ca="1">IF(AND('Mapa final'!$J$27="Muy Alta",'Mapa final'!$N$27="Leve"),CONCATENATE("R",'Mapa final'!$A$27),"")</f>
        <v/>
      </c>
      <c r="K8" s="259"/>
      <c r="L8" s="260" t="str">
        <f ca="1">IF(AND('Mapa final'!$J$33="Muy Alta",'Mapa final'!$N$33="Leve"),CONCATENATE("R",'Mapa final'!$A$33),"")</f>
        <v/>
      </c>
      <c r="M8" s="260"/>
      <c r="N8" s="260" t="str">
        <f ca="1">IF(AND('Mapa final'!$J$39="Muy Alta",'Mapa final'!$N$39="Leve"),CONCATENATE("R",'Mapa final'!$A$39),"")</f>
        <v/>
      </c>
      <c r="O8" s="261"/>
      <c r="P8" s="258" t="str">
        <f ca="1">IF(AND('Mapa final'!$J$27="Muy Alta",'Mapa final'!$N$27="Menor"),CONCATENATE("R",'Mapa final'!$A$27),"")</f>
        <v/>
      </c>
      <c r="Q8" s="259"/>
      <c r="R8" s="260" t="str">
        <f ca="1">IF(AND('Mapa final'!$J$33="Muy Alta",'Mapa final'!$N$33="Menor"),CONCATENATE("R",'Mapa final'!$A$33),"")</f>
        <v/>
      </c>
      <c r="S8" s="260"/>
      <c r="T8" s="260" t="str">
        <f ca="1">IF(AND('Mapa final'!$J$39="Muy Alta",'Mapa final'!$N$39="Menor"),CONCATENATE("R",'Mapa final'!$A$39),"")</f>
        <v/>
      </c>
      <c r="U8" s="261"/>
      <c r="V8" s="258" t="str">
        <f ca="1">IF(AND('Mapa final'!$J$27="Muy Alta",'Mapa final'!$N$27="Moderado"),CONCATENATE("R",'Mapa final'!$A$27),"")</f>
        <v/>
      </c>
      <c r="W8" s="259"/>
      <c r="X8" s="260" t="str">
        <f ca="1">IF(AND('Mapa final'!$J$33="Muy Alta",'Mapa final'!$N$33="Moderado"),CONCATENATE("R",'Mapa final'!$A$33),"")</f>
        <v/>
      </c>
      <c r="Y8" s="260"/>
      <c r="Z8" s="260" t="str">
        <f ca="1">IF(AND('Mapa final'!$J$39="Muy Alta",'Mapa final'!$N$39="Moderado"),CONCATENATE("R",'Mapa final'!$A$39),"")</f>
        <v/>
      </c>
      <c r="AA8" s="261"/>
      <c r="AB8" s="258" t="str">
        <f ca="1">IF(AND('Mapa final'!$J$27="Muy Alta",'Mapa final'!$N$27="Mayor"),CONCATENATE("R",'Mapa final'!$A$27),"")</f>
        <v/>
      </c>
      <c r="AC8" s="259"/>
      <c r="AD8" s="260" t="str">
        <f ca="1">IF(AND('Mapa final'!$J$33="Muy Alta",'Mapa final'!$N$33="Mayor"),CONCATENATE("R",'Mapa final'!$A$33),"")</f>
        <v/>
      </c>
      <c r="AE8" s="260"/>
      <c r="AF8" s="260" t="str">
        <f ca="1">IF(AND('Mapa final'!$J$39="Muy Alta",'Mapa final'!$N$39="Mayor"),CONCATENATE("R",'Mapa final'!$A$39),"")</f>
        <v/>
      </c>
      <c r="AG8" s="261"/>
      <c r="AH8" s="249" t="str">
        <f ca="1">IF(AND('Mapa final'!$J$27="Muy Alta",'Mapa final'!$N$27="Catastrófico"),CONCATENATE("R",'Mapa final'!$A$27),"")</f>
        <v/>
      </c>
      <c r="AI8" s="250"/>
      <c r="AJ8" s="250" t="str">
        <f ca="1">IF(AND('Mapa final'!$J$33="Muy Alta",'Mapa final'!$N$33="Catastrófico"),CONCATENATE("R",'Mapa final'!$A$33),"")</f>
        <v/>
      </c>
      <c r="AK8" s="250"/>
      <c r="AL8" s="250" t="str">
        <f ca="1">IF(AND('Mapa final'!$J$39="Muy Alta",'Mapa final'!$N$39="Catastrófico"),CONCATENATE("R",'Mapa final'!$A$39),"")</f>
        <v/>
      </c>
      <c r="AM8" s="251"/>
      <c r="AN8" s="70"/>
      <c r="AO8" s="285"/>
      <c r="AP8" s="286"/>
      <c r="AQ8" s="286"/>
      <c r="AR8" s="286"/>
      <c r="AS8" s="286"/>
      <c r="AT8" s="287"/>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80"/>
      <c r="C9" s="280"/>
      <c r="D9" s="281"/>
      <c r="E9" s="272"/>
      <c r="F9" s="273"/>
      <c r="G9" s="273"/>
      <c r="H9" s="273"/>
      <c r="I9" s="274"/>
      <c r="J9" s="258"/>
      <c r="K9" s="259"/>
      <c r="L9" s="260"/>
      <c r="M9" s="260"/>
      <c r="N9" s="260"/>
      <c r="O9" s="261"/>
      <c r="P9" s="258"/>
      <c r="Q9" s="259"/>
      <c r="R9" s="260"/>
      <c r="S9" s="260"/>
      <c r="T9" s="260"/>
      <c r="U9" s="261"/>
      <c r="V9" s="258"/>
      <c r="W9" s="259"/>
      <c r="X9" s="260"/>
      <c r="Y9" s="260"/>
      <c r="Z9" s="260"/>
      <c r="AA9" s="261"/>
      <c r="AB9" s="258"/>
      <c r="AC9" s="259"/>
      <c r="AD9" s="260"/>
      <c r="AE9" s="260"/>
      <c r="AF9" s="260"/>
      <c r="AG9" s="261"/>
      <c r="AH9" s="249"/>
      <c r="AI9" s="250"/>
      <c r="AJ9" s="250"/>
      <c r="AK9" s="250"/>
      <c r="AL9" s="250"/>
      <c r="AM9" s="251"/>
      <c r="AN9" s="70"/>
      <c r="AO9" s="285"/>
      <c r="AP9" s="286"/>
      <c r="AQ9" s="286"/>
      <c r="AR9" s="286"/>
      <c r="AS9" s="286"/>
      <c r="AT9" s="287"/>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80"/>
      <c r="C10" s="280"/>
      <c r="D10" s="281"/>
      <c r="E10" s="272"/>
      <c r="F10" s="273"/>
      <c r="G10" s="273"/>
      <c r="H10" s="273"/>
      <c r="I10" s="274"/>
      <c r="J10" s="258" t="str">
        <f ca="1">IF(AND('Mapa final'!$J$45="Muy Alta",'Mapa final'!$N$45="Leve"),CONCATENATE("R",'Mapa final'!$A$45),"")</f>
        <v/>
      </c>
      <c r="K10" s="259"/>
      <c r="L10" s="260" t="str">
        <f ca="1">IF(AND('Mapa final'!$J$51="Muy Alta",'Mapa final'!$N$51="Leve"),CONCATENATE("R",'Mapa final'!$A$51),"")</f>
        <v/>
      </c>
      <c r="M10" s="260"/>
      <c r="N10" s="260" t="str">
        <f ca="1">IF(AND('Mapa final'!$J$57="Muy Alta",'Mapa final'!$N$57="Leve"),CONCATENATE("R",'Mapa final'!$A$57),"")</f>
        <v/>
      </c>
      <c r="O10" s="261"/>
      <c r="P10" s="258" t="str">
        <f ca="1">IF(AND('Mapa final'!$J$45="Muy Alta",'Mapa final'!$N$45="Menor"),CONCATENATE("R",'Mapa final'!$A$45),"")</f>
        <v/>
      </c>
      <c r="Q10" s="259"/>
      <c r="R10" s="260" t="str">
        <f ca="1">IF(AND('Mapa final'!$J$51="Muy Alta",'Mapa final'!$N$51="Menor"),CONCATENATE("R",'Mapa final'!$A$51),"")</f>
        <v/>
      </c>
      <c r="S10" s="260"/>
      <c r="T10" s="260" t="str">
        <f ca="1">IF(AND('Mapa final'!$J$57="Muy Alta",'Mapa final'!$N$57="Menor"),CONCATENATE("R",'Mapa final'!$A$57),"")</f>
        <v/>
      </c>
      <c r="U10" s="261"/>
      <c r="V10" s="258" t="str">
        <f ca="1">IF(AND('Mapa final'!$J$45="Muy Alta",'Mapa final'!$N$45="Moderado"),CONCATENATE("R",'Mapa final'!$A$45),"")</f>
        <v/>
      </c>
      <c r="W10" s="259"/>
      <c r="X10" s="260" t="str">
        <f ca="1">IF(AND('Mapa final'!$J$51="Muy Alta",'Mapa final'!$N$51="Moderado"),CONCATENATE("R",'Mapa final'!$A$51),"")</f>
        <v/>
      </c>
      <c r="Y10" s="260"/>
      <c r="Z10" s="260" t="str">
        <f ca="1">IF(AND('Mapa final'!$J$57="Muy Alta",'Mapa final'!$N$57="Moderado"),CONCATENATE("R",'Mapa final'!$A$57),"")</f>
        <v/>
      </c>
      <c r="AA10" s="261"/>
      <c r="AB10" s="258" t="str">
        <f ca="1">IF(AND('Mapa final'!$J$45="Muy Alta",'Mapa final'!$N$45="Mayor"),CONCATENATE("R",'Mapa final'!$A$45),"")</f>
        <v/>
      </c>
      <c r="AC10" s="259"/>
      <c r="AD10" s="260" t="str">
        <f ca="1">IF(AND('Mapa final'!$J$51="Muy Alta",'Mapa final'!$N$51="Mayor"),CONCATENATE("R",'Mapa final'!$A$51),"")</f>
        <v/>
      </c>
      <c r="AE10" s="260"/>
      <c r="AF10" s="260" t="str">
        <f ca="1">IF(AND('Mapa final'!$J$57="Muy Alta",'Mapa final'!$N$57="Mayor"),CONCATENATE("R",'Mapa final'!$A$57),"")</f>
        <v/>
      </c>
      <c r="AG10" s="261"/>
      <c r="AH10" s="249" t="str">
        <f ca="1">IF(AND('Mapa final'!$J$45="Muy Alta",'Mapa final'!$N$45="Catastrófico"),CONCATENATE("R",'Mapa final'!$A$45),"")</f>
        <v/>
      </c>
      <c r="AI10" s="250"/>
      <c r="AJ10" s="250" t="str">
        <f ca="1">IF(AND('Mapa final'!$J$51="Muy Alta",'Mapa final'!$N$51="Catastrófico"),CONCATENATE("R",'Mapa final'!$A$51),"")</f>
        <v/>
      </c>
      <c r="AK10" s="250"/>
      <c r="AL10" s="250" t="str">
        <f ca="1">IF(AND('Mapa final'!$J$57="Muy Alta",'Mapa final'!$N$57="Catastrófico"),CONCATENATE("R",'Mapa final'!$A$57),"")</f>
        <v/>
      </c>
      <c r="AM10" s="251"/>
      <c r="AN10" s="70"/>
      <c r="AO10" s="285"/>
      <c r="AP10" s="286"/>
      <c r="AQ10" s="286"/>
      <c r="AR10" s="286"/>
      <c r="AS10" s="286"/>
      <c r="AT10" s="287"/>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80"/>
      <c r="C11" s="280"/>
      <c r="D11" s="281"/>
      <c r="E11" s="272"/>
      <c r="F11" s="273"/>
      <c r="G11" s="273"/>
      <c r="H11" s="273"/>
      <c r="I11" s="274"/>
      <c r="J11" s="258"/>
      <c r="K11" s="259"/>
      <c r="L11" s="260"/>
      <c r="M11" s="260"/>
      <c r="N11" s="260"/>
      <c r="O11" s="261"/>
      <c r="P11" s="258"/>
      <c r="Q11" s="259"/>
      <c r="R11" s="260"/>
      <c r="S11" s="260"/>
      <c r="T11" s="260"/>
      <c r="U11" s="261"/>
      <c r="V11" s="258"/>
      <c r="W11" s="259"/>
      <c r="X11" s="260"/>
      <c r="Y11" s="260"/>
      <c r="Z11" s="260"/>
      <c r="AA11" s="261"/>
      <c r="AB11" s="258"/>
      <c r="AC11" s="259"/>
      <c r="AD11" s="260"/>
      <c r="AE11" s="260"/>
      <c r="AF11" s="260"/>
      <c r="AG11" s="261"/>
      <c r="AH11" s="249"/>
      <c r="AI11" s="250"/>
      <c r="AJ11" s="250"/>
      <c r="AK11" s="250"/>
      <c r="AL11" s="250"/>
      <c r="AM11" s="251"/>
      <c r="AN11" s="70"/>
      <c r="AO11" s="285"/>
      <c r="AP11" s="286"/>
      <c r="AQ11" s="286"/>
      <c r="AR11" s="286"/>
      <c r="AS11" s="286"/>
      <c r="AT11" s="287"/>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80"/>
      <c r="C12" s="280"/>
      <c r="D12" s="281"/>
      <c r="E12" s="272"/>
      <c r="F12" s="273"/>
      <c r="G12" s="273"/>
      <c r="H12" s="273"/>
      <c r="I12" s="274"/>
      <c r="J12" s="258" t="str">
        <f ca="1">IF(AND('Mapa final'!$J$63="Muy Alta",'Mapa final'!$N$63="Leve"),CONCATENATE("R",'Mapa final'!$A$63),"")</f>
        <v/>
      </c>
      <c r="K12" s="259"/>
      <c r="L12" s="260" t="str">
        <f>IF(AND('Mapa final'!$J$70="Muy Alta",'Mapa final'!$N$70="Leve"),CONCATENATE("R",'Mapa final'!$A$70),"")</f>
        <v/>
      </c>
      <c r="M12" s="260"/>
      <c r="N12" s="260" t="str">
        <f>IF(AND('Mapa final'!$J$76="Muy Alta",'Mapa final'!$N$76="Leve"),CONCATENATE("R",'Mapa final'!$A$76),"")</f>
        <v/>
      </c>
      <c r="O12" s="261"/>
      <c r="P12" s="258" t="str">
        <f ca="1">IF(AND('Mapa final'!$J$63="Muy Alta",'Mapa final'!$N$63="Menor"),CONCATENATE("R",'Mapa final'!$A$63),"")</f>
        <v/>
      </c>
      <c r="Q12" s="259"/>
      <c r="R12" s="260" t="str">
        <f>IF(AND('Mapa final'!$J$70="Muy Alta",'Mapa final'!$N$70="Menor"),CONCATENATE("R",'Mapa final'!$A$70),"")</f>
        <v/>
      </c>
      <c r="S12" s="260"/>
      <c r="T12" s="260" t="str">
        <f>IF(AND('Mapa final'!$J$76="Muy Alta",'Mapa final'!$N$76="Menor"),CONCATENATE("R",'Mapa final'!$A$76),"")</f>
        <v/>
      </c>
      <c r="U12" s="261"/>
      <c r="V12" s="258" t="str">
        <f ca="1">IF(AND('Mapa final'!$J$63="Muy Alta",'Mapa final'!$N$63="Moderado"),CONCATENATE("R",'Mapa final'!$A$63),"")</f>
        <v/>
      </c>
      <c r="W12" s="259"/>
      <c r="X12" s="260" t="str">
        <f>IF(AND('Mapa final'!$J$70="Muy Alta",'Mapa final'!$N$70="Moderado"),CONCATENATE("R",'Mapa final'!$A$70),"")</f>
        <v/>
      </c>
      <c r="Y12" s="260"/>
      <c r="Z12" s="260" t="str">
        <f>IF(AND('Mapa final'!$J$76="Muy Alta",'Mapa final'!$N$76="Moderado"),CONCATENATE("R",'Mapa final'!$A$76),"")</f>
        <v/>
      </c>
      <c r="AA12" s="261"/>
      <c r="AB12" s="258" t="str">
        <f ca="1">IF(AND('Mapa final'!$J$63="Muy Alta",'Mapa final'!$N$63="Mayor"),CONCATENATE("R",'Mapa final'!$A$63),"")</f>
        <v/>
      </c>
      <c r="AC12" s="259"/>
      <c r="AD12" s="260" t="str">
        <f>IF(AND('Mapa final'!$J$70="Muy Alta",'Mapa final'!$N$70="Mayor"),CONCATENATE("R",'Mapa final'!$A$70),"")</f>
        <v/>
      </c>
      <c r="AE12" s="260"/>
      <c r="AF12" s="260" t="str">
        <f>IF(AND('Mapa final'!$J$76="Muy Alta",'Mapa final'!$N$76="Mayor"),CONCATENATE("R",'Mapa final'!$A$76),"")</f>
        <v/>
      </c>
      <c r="AG12" s="261"/>
      <c r="AH12" s="249" t="str">
        <f ca="1">IF(AND('Mapa final'!$J$63="Muy Alta",'Mapa final'!$N$63="Catastrófico"),CONCATENATE("R",'Mapa final'!$A$63),"")</f>
        <v/>
      </c>
      <c r="AI12" s="250"/>
      <c r="AJ12" s="250" t="str">
        <f>IF(AND('Mapa final'!$J$70="Muy Alta",'Mapa final'!$N$70="Catastrófico"),CONCATENATE("R",'Mapa final'!$A$70),"")</f>
        <v/>
      </c>
      <c r="AK12" s="250"/>
      <c r="AL12" s="250" t="str">
        <f>IF(AND('Mapa final'!$J$76="Muy Alta",'Mapa final'!$N$76="Catastrófico"),CONCATENATE("R",'Mapa final'!$A$76),"")</f>
        <v/>
      </c>
      <c r="AM12" s="251"/>
      <c r="AN12" s="70"/>
      <c r="AO12" s="285"/>
      <c r="AP12" s="286"/>
      <c r="AQ12" s="286"/>
      <c r="AR12" s="286"/>
      <c r="AS12" s="286"/>
      <c r="AT12" s="287"/>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80"/>
      <c r="C13" s="280"/>
      <c r="D13" s="281"/>
      <c r="E13" s="275"/>
      <c r="F13" s="276"/>
      <c r="G13" s="276"/>
      <c r="H13" s="276"/>
      <c r="I13" s="277"/>
      <c r="J13" s="258"/>
      <c r="K13" s="259"/>
      <c r="L13" s="259"/>
      <c r="M13" s="259"/>
      <c r="N13" s="259"/>
      <c r="O13" s="261"/>
      <c r="P13" s="258"/>
      <c r="Q13" s="259"/>
      <c r="R13" s="259"/>
      <c r="S13" s="259"/>
      <c r="T13" s="259"/>
      <c r="U13" s="261"/>
      <c r="V13" s="258"/>
      <c r="W13" s="259"/>
      <c r="X13" s="259"/>
      <c r="Y13" s="259"/>
      <c r="Z13" s="259"/>
      <c r="AA13" s="261"/>
      <c r="AB13" s="258"/>
      <c r="AC13" s="259"/>
      <c r="AD13" s="259"/>
      <c r="AE13" s="259"/>
      <c r="AF13" s="259"/>
      <c r="AG13" s="261"/>
      <c r="AH13" s="252"/>
      <c r="AI13" s="253"/>
      <c r="AJ13" s="253"/>
      <c r="AK13" s="253"/>
      <c r="AL13" s="253"/>
      <c r="AM13" s="254"/>
      <c r="AN13" s="70"/>
      <c r="AO13" s="288"/>
      <c r="AP13" s="289"/>
      <c r="AQ13" s="289"/>
      <c r="AR13" s="289"/>
      <c r="AS13" s="289"/>
      <c r="AT13" s="29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80"/>
      <c r="C14" s="280"/>
      <c r="D14" s="281"/>
      <c r="E14" s="269" t="s">
        <v>111</v>
      </c>
      <c r="F14" s="270"/>
      <c r="G14" s="270"/>
      <c r="H14" s="270"/>
      <c r="I14" s="270"/>
      <c r="J14" s="246" t="str">
        <f>IF(AND('Mapa final'!$J$9="Alta",'Mapa final'!$N$9="Leve"),CONCATENATE("R",'Mapa final'!$A$9),"")</f>
        <v/>
      </c>
      <c r="K14" s="247"/>
      <c r="L14" s="247" t="str">
        <f ca="1">IF(AND('Mapa final'!$J$15="Alta",'Mapa final'!$N$15="Leve"),CONCATENATE("R",'Mapa final'!$A$15),"")</f>
        <v/>
      </c>
      <c r="M14" s="247"/>
      <c r="N14" s="247" t="str">
        <f ca="1">IF(AND('Mapa final'!$J$21="Alta",'Mapa final'!$N$21="Leve"),CONCATENATE("R",'Mapa final'!$A$21),"")</f>
        <v/>
      </c>
      <c r="O14" s="248"/>
      <c r="P14" s="246" t="str">
        <f>IF(AND('Mapa final'!$J$9="Alta",'Mapa final'!$N$9="Menor"),CONCATENATE("R",'Mapa final'!$A$9),"")</f>
        <v/>
      </c>
      <c r="Q14" s="247"/>
      <c r="R14" s="247" t="str">
        <f ca="1">IF(AND('Mapa final'!$J$15="Alta",'Mapa final'!$N$15="Menor"),CONCATENATE("R",'Mapa final'!$A$15),"")</f>
        <v/>
      </c>
      <c r="S14" s="247"/>
      <c r="T14" s="247" t="str">
        <f ca="1">IF(AND('Mapa final'!$J$21="Alta",'Mapa final'!$N$21="Menor"),CONCATENATE("R",'Mapa final'!$A$21),"")</f>
        <v/>
      </c>
      <c r="U14" s="248"/>
      <c r="V14" s="265" t="str">
        <f>IF(AND('Mapa final'!$J$9="Alta",'Mapa final'!$N$9="Moderado"),CONCATENATE("R",'Mapa final'!$A$9),"")</f>
        <v/>
      </c>
      <c r="W14" s="266"/>
      <c r="X14" s="266" t="str">
        <f ca="1">IF(AND('Mapa final'!$J$15="Alta",'Mapa final'!$N$15="Moderado"),CONCATENATE("R",'Mapa final'!$A$15),"")</f>
        <v/>
      </c>
      <c r="Y14" s="266"/>
      <c r="Z14" s="266" t="str">
        <f ca="1">IF(AND('Mapa final'!$J$21="Alta",'Mapa final'!$N$21="Moderado"),CONCATENATE("R",'Mapa final'!$A$21),"")</f>
        <v/>
      </c>
      <c r="AA14" s="267"/>
      <c r="AB14" s="265" t="str">
        <f>IF(AND('Mapa final'!$J$9="Alta",'Mapa final'!$N$9="Mayor"),CONCATENATE("R",'Mapa final'!$A$9),"")</f>
        <v/>
      </c>
      <c r="AC14" s="266"/>
      <c r="AD14" s="266" t="str">
        <f ca="1">IF(AND('Mapa final'!$J$15="Alta",'Mapa final'!$N$15="Mayor"),CONCATENATE("R",'Mapa final'!$A$15),"")</f>
        <v/>
      </c>
      <c r="AE14" s="266"/>
      <c r="AF14" s="266" t="str">
        <f ca="1">IF(AND('Mapa final'!$J$21="Alta",'Mapa final'!$N$21="Mayor"),CONCATENATE("R",'Mapa final'!$A$21),"")</f>
        <v/>
      </c>
      <c r="AG14" s="267"/>
      <c r="AH14" s="255" t="str">
        <f>IF(AND('Mapa final'!$J$9="Alta",'Mapa final'!$N$9="Catastrófico"),CONCATENATE("R",'Mapa final'!$A$9),"")</f>
        <v/>
      </c>
      <c r="AI14" s="256"/>
      <c r="AJ14" s="256" t="str">
        <f ca="1">IF(AND('Mapa final'!$J$15="Alta",'Mapa final'!$N$15="Catastrófico"),CONCATENATE("R",'Mapa final'!$A$15),"")</f>
        <v/>
      </c>
      <c r="AK14" s="256"/>
      <c r="AL14" s="256" t="str">
        <f ca="1">IF(AND('Mapa final'!$J$21="Alta",'Mapa final'!$N$21="Catastrófico"),CONCATENATE("R",'Mapa final'!$A$21),"")</f>
        <v/>
      </c>
      <c r="AM14" s="257"/>
      <c r="AN14" s="70"/>
      <c r="AO14" s="291" t="s">
        <v>76</v>
      </c>
      <c r="AP14" s="292"/>
      <c r="AQ14" s="292"/>
      <c r="AR14" s="292"/>
      <c r="AS14" s="292"/>
      <c r="AT14" s="293"/>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80"/>
      <c r="C15" s="280"/>
      <c r="D15" s="281"/>
      <c r="E15" s="272"/>
      <c r="F15" s="273"/>
      <c r="G15" s="273"/>
      <c r="H15" s="273"/>
      <c r="I15" s="278"/>
      <c r="J15" s="240"/>
      <c r="K15" s="241"/>
      <c r="L15" s="241"/>
      <c r="M15" s="241"/>
      <c r="N15" s="241"/>
      <c r="O15" s="242"/>
      <c r="P15" s="240"/>
      <c r="Q15" s="241"/>
      <c r="R15" s="241"/>
      <c r="S15" s="241"/>
      <c r="T15" s="241"/>
      <c r="U15" s="242"/>
      <c r="V15" s="258"/>
      <c r="W15" s="259"/>
      <c r="X15" s="259"/>
      <c r="Y15" s="259"/>
      <c r="Z15" s="259"/>
      <c r="AA15" s="261"/>
      <c r="AB15" s="258"/>
      <c r="AC15" s="259"/>
      <c r="AD15" s="259"/>
      <c r="AE15" s="259"/>
      <c r="AF15" s="259"/>
      <c r="AG15" s="261"/>
      <c r="AH15" s="249"/>
      <c r="AI15" s="250"/>
      <c r="AJ15" s="250"/>
      <c r="AK15" s="250"/>
      <c r="AL15" s="250"/>
      <c r="AM15" s="251"/>
      <c r="AN15" s="70"/>
      <c r="AO15" s="294"/>
      <c r="AP15" s="295"/>
      <c r="AQ15" s="295"/>
      <c r="AR15" s="295"/>
      <c r="AS15" s="295"/>
      <c r="AT15" s="296"/>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80"/>
      <c r="C16" s="280"/>
      <c r="D16" s="281"/>
      <c r="E16" s="272"/>
      <c r="F16" s="273"/>
      <c r="G16" s="273"/>
      <c r="H16" s="273"/>
      <c r="I16" s="278"/>
      <c r="J16" s="240" t="str">
        <f ca="1">IF(AND('Mapa final'!$J$27="Alta",'Mapa final'!$N$27="Leve"),CONCATENATE("R",'Mapa final'!$A$27),"")</f>
        <v/>
      </c>
      <c r="K16" s="241"/>
      <c r="L16" s="241" t="str">
        <f ca="1">IF(AND('Mapa final'!$J$33="Alta",'Mapa final'!$N$33="Leve"),CONCATENATE("R",'Mapa final'!$A$33),"")</f>
        <v/>
      </c>
      <c r="M16" s="241"/>
      <c r="N16" s="241" t="str">
        <f ca="1">IF(AND('Mapa final'!$J$39="Alta",'Mapa final'!$N$39="Leve"),CONCATENATE("R",'Mapa final'!$A$39),"")</f>
        <v/>
      </c>
      <c r="O16" s="242"/>
      <c r="P16" s="240" t="str">
        <f ca="1">IF(AND('Mapa final'!$J$27="Alta",'Mapa final'!$N$27="Menor"),CONCATENATE("R",'Mapa final'!$A$27),"")</f>
        <v/>
      </c>
      <c r="Q16" s="241"/>
      <c r="R16" s="241" t="str">
        <f ca="1">IF(AND('Mapa final'!$J$33="Alta",'Mapa final'!$N$33="Menor"),CONCATENATE("R",'Mapa final'!$A$33),"")</f>
        <v/>
      </c>
      <c r="S16" s="241"/>
      <c r="T16" s="241" t="str">
        <f ca="1">IF(AND('Mapa final'!$J$39="Alta",'Mapa final'!$N$39="Menor"),CONCATENATE("R",'Mapa final'!$A$39),"")</f>
        <v/>
      </c>
      <c r="U16" s="242"/>
      <c r="V16" s="258" t="str">
        <f ca="1">IF(AND('Mapa final'!$J$27="Alta",'Mapa final'!$N$27="Moderado"),CONCATENATE("R",'Mapa final'!$A$27),"")</f>
        <v/>
      </c>
      <c r="W16" s="259"/>
      <c r="X16" s="260" t="str">
        <f ca="1">IF(AND('Mapa final'!$J$33="Alta",'Mapa final'!$N$33="Moderado"),CONCATENATE("R",'Mapa final'!$A$33),"")</f>
        <v/>
      </c>
      <c r="Y16" s="260"/>
      <c r="Z16" s="260" t="str">
        <f ca="1">IF(AND('Mapa final'!$J$39="Alta",'Mapa final'!$N$39="Moderado"),CONCATENATE("R",'Mapa final'!$A$39),"")</f>
        <v/>
      </c>
      <c r="AA16" s="261"/>
      <c r="AB16" s="258" t="str">
        <f ca="1">IF(AND('Mapa final'!$J$27="Alta",'Mapa final'!$N$27="Mayor"),CONCATENATE("R",'Mapa final'!$A$27),"")</f>
        <v/>
      </c>
      <c r="AC16" s="259"/>
      <c r="AD16" s="260" t="str">
        <f ca="1">IF(AND('Mapa final'!$J$33="Alta",'Mapa final'!$N$33="Mayor"),CONCATENATE("R",'Mapa final'!$A$33),"")</f>
        <v/>
      </c>
      <c r="AE16" s="260"/>
      <c r="AF16" s="260" t="str">
        <f ca="1">IF(AND('Mapa final'!$J$39="Alta",'Mapa final'!$N$39="Mayor"),CONCATENATE("R",'Mapa final'!$A$39),"")</f>
        <v/>
      </c>
      <c r="AG16" s="261"/>
      <c r="AH16" s="249" t="str">
        <f ca="1">IF(AND('Mapa final'!$J$27="Alta",'Mapa final'!$N$27="Catastrófico"),CONCATENATE("R",'Mapa final'!$A$27),"")</f>
        <v/>
      </c>
      <c r="AI16" s="250"/>
      <c r="AJ16" s="250" t="str">
        <f ca="1">IF(AND('Mapa final'!$J$33="Alta",'Mapa final'!$N$33="Catastrófico"),CONCATENATE("R",'Mapa final'!$A$33),"")</f>
        <v/>
      </c>
      <c r="AK16" s="250"/>
      <c r="AL16" s="250" t="str">
        <f ca="1">IF(AND('Mapa final'!$J$39="Alta",'Mapa final'!$N$39="Catastrófico"),CONCATENATE("R",'Mapa final'!$A$39),"")</f>
        <v/>
      </c>
      <c r="AM16" s="251"/>
      <c r="AN16" s="70"/>
      <c r="AO16" s="294"/>
      <c r="AP16" s="295"/>
      <c r="AQ16" s="295"/>
      <c r="AR16" s="295"/>
      <c r="AS16" s="295"/>
      <c r="AT16" s="296"/>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80"/>
      <c r="C17" s="280"/>
      <c r="D17" s="281"/>
      <c r="E17" s="272"/>
      <c r="F17" s="273"/>
      <c r="G17" s="273"/>
      <c r="H17" s="273"/>
      <c r="I17" s="278"/>
      <c r="J17" s="240"/>
      <c r="K17" s="241"/>
      <c r="L17" s="241"/>
      <c r="M17" s="241"/>
      <c r="N17" s="241"/>
      <c r="O17" s="242"/>
      <c r="P17" s="240"/>
      <c r="Q17" s="241"/>
      <c r="R17" s="241"/>
      <c r="S17" s="241"/>
      <c r="T17" s="241"/>
      <c r="U17" s="242"/>
      <c r="V17" s="258"/>
      <c r="W17" s="259"/>
      <c r="X17" s="260"/>
      <c r="Y17" s="260"/>
      <c r="Z17" s="260"/>
      <c r="AA17" s="261"/>
      <c r="AB17" s="258"/>
      <c r="AC17" s="259"/>
      <c r="AD17" s="260"/>
      <c r="AE17" s="260"/>
      <c r="AF17" s="260"/>
      <c r="AG17" s="261"/>
      <c r="AH17" s="249"/>
      <c r="AI17" s="250"/>
      <c r="AJ17" s="250"/>
      <c r="AK17" s="250"/>
      <c r="AL17" s="250"/>
      <c r="AM17" s="251"/>
      <c r="AN17" s="70"/>
      <c r="AO17" s="294"/>
      <c r="AP17" s="295"/>
      <c r="AQ17" s="295"/>
      <c r="AR17" s="295"/>
      <c r="AS17" s="295"/>
      <c r="AT17" s="296"/>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80"/>
      <c r="C18" s="280"/>
      <c r="D18" s="281"/>
      <c r="E18" s="272"/>
      <c r="F18" s="273"/>
      <c r="G18" s="273"/>
      <c r="H18" s="273"/>
      <c r="I18" s="278"/>
      <c r="J18" s="240" t="str">
        <f ca="1">IF(AND('Mapa final'!$J$45="Alta",'Mapa final'!$N$45="Leve"),CONCATENATE("R",'Mapa final'!$A$45),"")</f>
        <v/>
      </c>
      <c r="K18" s="241"/>
      <c r="L18" s="241" t="str">
        <f ca="1">IF(AND('Mapa final'!$J$51="Alta",'Mapa final'!$N$51="Leve"),CONCATENATE("R",'Mapa final'!$A$51),"")</f>
        <v/>
      </c>
      <c r="M18" s="241"/>
      <c r="N18" s="241" t="str">
        <f ca="1">IF(AND('Mapa final'!$J$57="Alta",'Mapa final'!$N$57="Leve"),CONCATENATE("R",'Mapa final'!$A$57),"")</f>
        <v/>
      </c>
      <c r="O18" s="242"/>
      <c r="P18" s="240" t="str">
        <f ca="1">IF(AND('Mapa final'!$J$45="Alta",'Mapa final'!$N$45="Menor"),CONCATENATE("R",'Mapa final'!$A$45),"")</f>
        <v/>
      </c>
      <c r="Q18" s="241"/>
      <c r="R18" s="241" t="str">
        <f ca="1">IF(AND('Mapa final'!$J$51="Alta",'Mapa final'!$N$51="Menor"),CONCATENATE("R",'Mapa final'!$A$51),"")</f>
        <v/>
      </c>
      <c r="S18" s="241"/>
      <c r="T18" s="241" t="str">
        <f ca="1">IF(AND('Mapa final'!$J$57="Alta",'Mapa final'!$N$57="Menor"),CONCATENATE("R",'Mapa final'!$A$57),"")</f>
        <v/>
      </c>
      <c r="U18" s="242"/>
      <c r="V18" s="258" t="str">
        <f ca="1">IF(AND('Mapa final'!$J$45="Alta",'Mapa final'!$N$45="Moderado"),CONCATENATE("R",'Mapa final'!$A$45),"")</f>
        <v/>
      </c>
      <c r="W18" s="259"/>
      <c r="X18" s="260" t="str">
        <f ca="1">IF(AND('Mapa final'!$J$51="Alta",'Mapa final'!$N$51="Moderado"),CONCATENATE("R",'Mapa final'!$A$51),"")</f>
        <v/>
      </c>
      <c r="Y18" s="260"/>
      <c r="Z18" s="260" t="str">
        <f ca="1">IF(AND('Mapa final'!$J$57="Alta",'Mapa final'!$N$57="Moderado"),CONCATENATE("R",'Mapa final'!$A$57),"")</f>
        <v/>
      </c>
      <c r="AA18" s="261"/>
      <c r="AB18" s="258" t="str">
        <f ca="1">IF(AND('Mapa final'!$J$45="Alta",'Mapa final'!$N$45="Mayor"),CONCATENATE("R",'Mapa final'!$A$45),"")</f>
        <v/>
      </c>
      <c r="AC18" s="259"/>
      <c r="AD18" s="260" t="str">
        <f ca="1">IF(AND('Mapa final'!$J$51="Alta",'Mapa final'!$N$51="Mayor"),CONCATENATE("R",'Mapa final'!$A$51),"")</f>
        <v/>
      </c>
      <c r="AE18" s="260"/>
      <c r="AF18" s="260" t="str">
        <f ca="1">IF(AND('Mapa final'!$J$57="Alta",'Mapa final'!$N$57="Mayor"),CONCATENATE("R",'Mapa final'!$A$57),"")</f>
        <v/>
      </c>
      <c r="AG18" s="261"/>
      <c r="AH18" s="249" t="str">
        <f ca="1">IF(AND('Mapa final'!$J$45="Alta",'Mapa final'!$N$45="Catastrófico"),CONCATENATE("R",'Mapa final'!$A$45),"")</f>
        <v/>
      </c>
      <c r="AI18" s="250"/>
      <c r="AJ18" s="250" t="str">
        <f ca="1">IF(AND('Mapa final'!$J$51="Alta",'Mapa final'!$N$51="Catastrófico"),CONCATENATE("R",'Mapa final'!$A$51),"")</f>
        <v/>
      </c>
      <c r="AK18" s="250"/>
      <c r="AL18" s="250" t="str">
        <f ca="1">IF(AND('Mapa final'!$J$57="Alta",'Mapa final'!$N$57="Catastrófico"),CONCATENATE("R",'Mapa final'!$A$57),"")</f>
        <v/>
      </c>
      <c r="AM18" s="251"/>
      <c r="AN18" s="70"/>
      <c r="AO18" s="294"/>
      <c r="AP18" s="295"/>
      <c r="AQ18" s="295"/>
      <c r="AR18" s="295"/>
      <c r="AS18" s="295"/>
      <c r="AT18" s="296"/>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80"/>
      <c r="C19" s="280"/>
      <c r="D19" s="281"/>
      <c r="E19" s="272"/>
      <c r="F19" s="273"/>
      <c r="G19" s="273"/>
      <c r="H19" s="273"/>
      <c r="I19" s="278"/>
      <c r="J19" s="240"/>
      <c r="K19" s="241"/>
      <c r="L19" s="241"/>
      <c r="M19" s="241"/>
      <c r="N19" s="241"/>
      <c r="O19" s="242"/>
      <c r="P19" s="240"/>
      <c r="Q19" s="241"/>
      <c r="R19" s="241"/>
      <c r="S19" s="241"/>
      <c r="T19" s="241"/>
      <c r="U19" s="242"/>
      <c r="V19" s="258"/>
      <c r="W19" s="259"/>
      <c r="X19" s="260"/>
      <c r="Y19" s="260"/>
      <c r="Z19" s="260"/>
      <c r="AA19" s="261"/>
      <c r="AB19" s="258"/>
      <c r="AC19" s="259"/>
      <c r="AD19" s="260"/>
      <c r="AE19" s="260"/>
      <c r="AF19" s="260"/>
      <c r="AG19" s="261"/>
      <c r="AH19" s="249"/>
      <c r="AI19" s="250"/>
      <c r="AJ19" s="250"/>
      <c r="AK19" s="250"/>
      <c r="AL19" s="250"/>
      <c r="AM19" s="251"/>
      <c r="AN19" s="70"/>
      <c r="AO19" s="294"/>
      <c r="AP19" s="295"/>
      <c r="AQ19" s="295"/>
      <c r="AR19" s="295"/>
      <c r="AS19" s="295"/>
      <c r="AT19" s="296"/>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80"/>
      <c r="C20" s="280"/>
      <c r="D20" s="281"/>
      <c r="E20" s="272"/>
      <c r="F20" s="273"/>
      <c r="G20" s="273"/>
      <c r="H20" s="273"/>
      <c r="I20" s="278"/>
      <c r="J20" s="240" t="str">
        <f ca="1">IF(AND('Mapa final'!$J$63="Alta",'Mapa final'!$N$63="Leve"),CONCATENATE("R",'Mapa final'!$A$63),"")</f>
        <v/>
      </c>
      <c r="K20" s="241"/>
      <c r="L20" s="241" t="str">
        <f>IF(AND('Mapa final'!$J$70="Alta",'Mapa final'!$N$70="Leve"),CONCATENATE("R",'Mapa final'!$A$70),"")</f>
        <v/>
      </c>
      <c r="M20" s="241"/>
      <c r="N20" s="241" t="str">
        <f>IF(AND('Mapa final'!$J$76="Alta",'Mapa final'!$N$76="Leve"),CONCATENATE("R",'Mapa final'!$A$76),"")</f>
        <v/>
      </c>
      <c r="O20" s="242"/>
      <c r="P20" s="240" t="str">
        <f ca="1">IF(AND('Mapa final'!$J$63="Alta",'Mapa final'!$N$63="Menor"),CONCATENATE("R",'Mapa final'!$A$63),"")</f>
        <v/>
      </c>
      <c r="Q20" s="241"/>
      <c r="R20" s="241" t="str">
        <f>IF(AND('Mapa final'!$J$70="Alta",'Mapa final'!$N$70="Menor"),CONCATENATE("R",'Mapa final'!$A$70),"")</f>
        <v/>
      </c>
      <c r="S20" s="241"/>
      <c r="T20" s="241" t="str">
        <f>IF(AND('Mapa final'!$J$76="Alta",'Mapa final'!$N$76="Menor"),CONCATENATE("R",'Mapa final'!$A$76),"")</f>
        <v/>
      </c>
      <c r="U20" s="242"/>
      <c r="V20" s="258" t="str">
        <f ca="1">IF(AND('Mapa final'!$J$63="Alta",'Mapa final'!$N$63="Moderado"),CONCATENATE("R",'Mapa final'!$A$63),"")</f>
        <v/>
      </c>
      <c r="W20" s="259"/>
      <c r="X20" s="260" t="str">
        <f>IF(AND('Mapa final'!$J$70="Alta",'Mapa final'!$N$70="Moderado"),CONCATENATE("R",'Mapa final'!$A$70),"")</f>
        <v/>
      </c>
      <c r="Y20" s="260"/>
      <c r="Z20" s="260" t="str">
        <f>IF(AND('Mapa final'!$J$76="Alta",'Mapa final'!$N$76="Moderado"),CONCATENATE("R",'Mapa final'!$A$76),"")</f>
        <v/>
      </c>
      <c r="AA20" s="261"/>
      <c r="AB20" s="258" t="str">
        <f ca="1">IF(AND('Mapa final'!$J$63="Alta",'Mapa final'!$N$63="Mayor"),CONCATENATE("R",'Mapa final'!$A$63),"")</f>
        <v/>
      </c>
      <c r="AC20" s="259"/>
      <c r="AD20" s="260" t="str">
        <f>IF(AND('Mapa final'!$J$70="Alta",'Mapa final'!$N$70="Mayor"),CONCATENATE("R",'Mapa final'!$A$70),"")</f>
        <v/>
      </c>
      <c r="AE20" s="260"/>
      <c r="AF20" s="260" t="str">
        <f>IF(AND('Mapa final'!$J$76="Alta",'Mapa final'!$N$76="Mayor"),CONCATENATE("R",'Mapa final'!$A$76),"")</f>
        <v/>
      </c>
      <c r="AG20" s="261"/>
      <c r="AH20" s="249" t="str">
        <f ca="1">IF(AND('Mapa final'!$J$63="Alta",'Mapa final'!$N$63="Catastrófico"),CONCATENATE("R",'Mapa final'!$A$63),"")</f>
        <v/>
      </c>
      <c r="AI20" s="250"/>
      <c r="AJ20" s="250" t="str">
        <f>IF(AND('Mapa final'!$J$70="Alta",'Mapa final'!$N$70="Catastrófico"),CONCATENATE("R",'Mapa final'!$A$70),"")</f>
        <v/>
      </c>
      <c r="AK20" s="250"/>
      <c r="AL20" s="250" t="str">
        <f>IF(AND('Mapa final'!$J$76="Alta",'Mapa final'!$N$76="Catastrófico"),CONCATENATE("R",'Mapa final'!$A$76),"")</f>
        <v/>
      </c>
      <c r="AM20" s="251"/>
      <c r="AN20" s="70"/>
      <c r="AO20" s="294"/>
      <c r="AP20" s="295"/>
      <c r="AQ20" s="295"/>
      <c r="AR20" s="295"/>
      <c r="AS20" s="295"/>
      <c r="AT20" s="296"/>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80"/>
      <c r="C21" s="280"/>
      <c r="D21" s="281"/>
      <c r="E21" s="275"/>
      <c r="F21" s="276"/>
      <c r="G21" s="276"/>
      <c r="H21" s="276"/>
      <c r="I21" s="276"/>
      <c r="J21" s="243"/>
      <c r="K21" s="244"/>
      <c r="L21" s="244"/>
      <c r="M21" s="244"/>
      <c r="N21" s="244"/>
      <c r="O21" s="245"/>
      <c r="P21" s="243"/>
      <c r="Q21" s="244"/>
      <c r="R21" s="244"/>
      <c r="S21" s="244"/>
      <c r="T21" s="244"/>
      <c r="U21" s="245"/>
      <c r="V21" s="262"/>
      <c r="W21" s="263"/>
      <c r="X21" s="263"/>
      <c r="Y21" s="263"/>
      <c r="Z21" s="263"/>
      <c r="AA21" s="264"/>
      <c r="AB21" s="262"/>
      <c r="AC21" s="263"/>
      <c r="AD21" s="263"/>
      <c r="AE21" s="263"/>
      <c r="AF21" s="263"/>
      <c r="AG21" s="264"/>
      <c r="AH21" s="252"/>
      <c r="AI21" s="253"/>
      <c r="AJ21" s="253"/>
      <c r="AK21" s="253"/>
      <c r="AL21" s="253"/>
      <c r="AM21" s="254"/>
      <c r="AN21" s="70"/>
      <c r="AO21" s="297"/>
      <c r="AP21" s="298"/>
      <c r="AQ21" s="298"/>
      <c r="AR21" s="298"/>
      <c r="AS21" s="298"/>
      <c r="AT21" s="299"/>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x14ac:dyDescent="0.25">
      <c r="A22" s="70"/>
      <c r="B22" s="280"/>
      <c r="C22" s="280"/>
      <c r="D22" s="281"/>
      <c r="E22" s="269" t="s">
        <v>113</v>
      </c>
      <c r="F22" s="270"/>
      <c r="G22" s="270"/>
      <c r="H22" s="270"/>
      <c r="I22" s="271"/>
      <c r="J22" s="246" t="str">
        <f>IF(AND('Mapa final'!$J$9="Media",'Mapa final'!$N$9="Leve"),CONCATENATE("R",'Mapa final'!$A$9),"")</f>
        <v/>
      </c>
      <c r="K22" s="247"/>
      <c r="L22" s="247" t="str">
        <f ca="1">IF(AND('Mapa final'!$J$15="Media",'Mapa final'!$N$15="Leve"),CONCATENATE("R",'Mapa final'!$A$15),"")</f>
        <v/>
      </c>
      <c r="M22" s="247"/>
      <c r="N22" s="247" t="str">
        <f ca="1">IF(AND('Mapa final'!$J$21="Media",'Mapa final'!$N$21="Leve"),CONCATENATE("R",'Mapa final'!$A$21),"")</f>
        <v/>
      </c>
      <c r="O22" s="248"/>
      <c r="P22" s="246" t="str">
        <f>IF(AND('Mapa final'!$J$9="Media",'Mapa final'!$N$9="Menor"),CONCATENATE("R",'Mapa final'!$A$9),"")</f>
        <v/>
      </c>
      <c r="Q22" s="247"/>
      <c r="R22" s="247" t="str">
        <f ca="1">IF(AND('Mapa final'!$J$15="Media",'Mapa final'!$N$15="Menor"),CONCATENATE("R",'Mapa final'!$A$15),"")</f>
        <v/>
      </c>
      <c r="S22" s="247"/>
      <c r="T22" s="247" t="str">
        <f ca="1">IF(AND('Mapa final'!$J$21="Media",'Mapa final'!$N$21="Menor"),CONCATENATE("R",'Mapa final'!$A$21),"")</f>
        <v/>
      </c>
      <c r="U22" s="248"/>
      <c r="V22" s="246" t="str">
        <f>IF(AND('Mapa final'!$J$9="Media",'Mapa final'!$N$9="Moderado"),CONCATENATE("R",'Mapa final'!$A$9),"")</f>
        <v/>
      </c>
      <c r="W22" s="247"/>
      <c r="X22" s="247" t="str">
        <f ca="1">IF(AND('Mapa final'!$J$15="Media",'Mapa final'!$N$15="Moderado"),CONCATENATE("R",'Mapa final'!$A$15),"")</f>
        <v/>
      </c>
      <c r="Y22" s="247"/>
      <c r="Z22" s="247" t="str">
        <f ca="1">IF(AND('Mapa final'!$J$21="Media",'Mapa final'!$N$21="Moderado"),CONCATENATE("R",'Mapa final'!$A$21),"")</f>
        <v/>
      </c>
      <c r="AA22" s="248"/>
      <c r="AB22" s="265" t="str">
        <f>IF(AND('Mapa final'!$J$9="Media",'Mapa final'!$N$9="Mayor"),CONCATENATE("R",'Mapa final'!$A$9),"")</f>
        <v/>
      </c>
      <c r="AC22" s="266"/>
      <c r="AD22" s="266" t="str">
        <f ca="1">IF(AND('Mapa final'!$J$15="Media",'Mapa final'!$N$15="Mayor"),CONCATENATE("R",'Mapa final'!$A$15),"")</f>
        <v/>
      </c>
      <c r="AE22" s="266"/>
      <c r="AF22" s="266" t="str">
        <f ca="1">IF(AND('Mapa final'!$J$21="Media",'Mapa final'!$N$21="Mayor"),CONCATENATE("R",'Mapa final'!$A$21),"")</f>
        <v/>
      </c>
      <c r="AG22" s="267"/>
      <c r="AH22" s="255" t="str">
        <f>IF(AND('Mapa final'!$J$9="Media",'Mapa final'!$N$9="Catastrófico"),CONCATENATE("R",'Mapa final'!$A$9),"")</f>
        <v/>
      </c>
      <c r="AI22" s="256"/>
      <c r="AJ22" s="256" t="str">
        <f ca="1">IF(AND('Mapa final'!$J$15="Media",'Mapa final'!$N$15="Catastrófico"),CONCATENATE("R",'Mapa final'!$A$15),"")</f>
        <v/>
      </c>
      <c r="AK22" s="256"/>
      <c r="AL22" s="256" t="str">
        <f ca="1">IF(AND('Mapa final'!$J$21="Media",'Mapa final'!$N$21="Catastrófico"),CONCATENATE("R",'Mapa final'!$A$21),"")</f>
        <v/>
      </c>
      <c r="AM22" s="257"/>
      <c r="AN22" s="70"/>
      <c r="AO22" s="300" t="s">
        <v>77</v>
      </c>
      <c r="AP22" s="301"/>
      <c r="AQ22" s="301"/>
      <c r="AR22" s="301"/>
      <c r="AS22" s="301"/>
      <c r="AT22" s="302"/>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x14ac:dyDescent="0.25">
      <c r="A23" s="70"/>
      <c r="B23" s="280"/>
      <c r="C23" s="280"/>
      <c r="D23" s="281"/>
      <c r="E23" s="272"/>
      <c r="F23" s="273"/>
      <c r="G23" s="273"/>
      <c r="H23" s="273"/>
      <c r="I23" s="274"/>
      <c r="J23" s="240"/>
      <c r="K23" s="241"/>
      <c r="L23" s="241"/>
      <c r="M23" s="241"/>
      <c r="N23" s="241"/>
      <c r="O23" s="242"/>
      <c r="P23" s="240"/>
      <c r="Q23" s="241"/>
      <c r="R23" s="241"/>
      <c r="S23" s="241"/>
      <c r="T23" s="241"/>
      <c r="U23" s="242"/>
      <c r="V23" s="240"/>
      <c r="W23" s="241"/>
      <c r="X23" s="241"/>
      <c r="Y23" s="241"/>
      <c r="Z23" s="241"/>
      <c r="AA23" s="242"/>
      <c r="AB23" s="258"/>
      <c r="AC23" s="259"/>
      <c r="AD23" s="259"/>
      <c r="AE23" s="259"/>
      <c r="AF23" s="259"/>
      <c r="AG23" s="261"/>
      <c r="AH23" s="249"/>
      <c r="AI23" s="250"/>
      <c r="AJ23" s="250"/>
      <c r="AK23" s="250"/>
      <c r="AL23" s="250"/>
      <c r="AM23" s="251"/>
      <c r="AN23" s="70"/>
      <c r="AO23" s="303"/>
      <c r="AP23" s="304"/>
      <c r="AQ23" s="304"/>
      <c r="AR23" s="304"/>
      <c r="AS23" s="304"/>
      <c r="AT23" s="305"/>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x14ac:dyDescent="0.25">
      <c r="A24" s="70"/>
      <c r="B24" s="280"/>
      <c r="C24" s="280"/>
      <c r="D24" s="281"/>
      <c r="E24" s="272"/>
      <c r="F24" s="273"/>
      <c r="G24" s="273"/>
      <c r="H24" s="273"/>
      <c r="I24" s="274"/>
      <c r="J24" s="240" t="str">
        <f ca="1">IF(AND('Mapa final'!$J$27="Media",'Mapa final'!$N$27="Leve"),CONCATENATE("R",'Mapa final'!$A$27),"")</f>
        <v/>
      </c>
      <c r="K24" s="241"/>
      <c r="L24" s="241" t="str">
        <f ca="1">IF(AND('Mapa final'!$J$33="Media",'Mapa final'!$N$33="Leve"),CONCATENATE("R",'Mapa final'!$A$33),"")</f>
        <v/>
      </c>
      <c r="M24" s="241"/>
      <c r="N24" s="241" t="str">
        <f ca="1">IF(AND('Mapa final'!$J$39="Media",'Mapa final'!$N$39="Leve"),CONCATENATE("R",'Mapa final'!$A$39),"")</f>
        <v/>
      </c>
      <c r="O24" s="242"/>
      <c r="P24" s="240" t="str">
        <f ca="1">IF(AND('Mapa final'!$J$27="Media",'Mapa final'!$N$27="Menor"),CONCATENATE("R",'Mapa final'!$A$27),"")</f>
        <v/>
      </c>
      <c r="Q24" s="241"/>
      <c r="R24" s="241" t="str">
        <f ca="1">IF(AND('Mapa final'!$J$33="Media",'Mapa final'!$N$33="Menor"),CONCATENATE("R",'Mapa final'!$A$33),"")</f>
        <v/>
      </c>
      <c r="S24" s="241"/>
      <c r="T24" s="241" t="str">
        <f ca="1">IF(AND('Mapa final'!$J$39="Media",'Mapa final'!$N$39="Menor"),CONCATENATE("R",'Mapa final'!$A$39),"")</f>
        <v/>
      </c>
      <c r="U24" s="242"/>
      <c r="V24" s="240" t="str">
        <f ca="1">IF(AND('Mapa final'!$J$27="Media",'Mapa final'!$N$27="Moderado"),CONCATENATE("R",'Mapa final'!$A$27),"")</f>
        <v/>
      </c>
      <c r="W24" s="241"/>
      <c r="X24" s="241" t="str">
        <f ca="1">IF(AND('Mapa final'!$J$33="Media",'Mapa final'!$N$33="Moderado"),CONCATENATE("R",'Mapa final'!$A$33),"")</f>
        <v/>
      </c>
      <c r="Y24" s="241"/>
      <c r="Z24" s="241" t="str">
        <f ca="1">IF(AND('Mapa final'!$J$39="Media",'Mapa final'!$N$39="Moderado"),CONCATENATE("R",'Mapa final'!$A$39),"")</f>
        <v/>
      </c>
      <c r="AA24" s="242"/>
      <c r="AB24" s="258" t="str">
        <f ca="1">IF(AND('Mapa final'!$J$27="Media",'Mapa final'!$N$27="Mayor"),CONCATENATE("R",'Mapa final'!$A$27),"")</f>
        <v/>
      </c>
      <c r="AC24" s="259"/>
      <c r="AD24" s="260" t="str">
        <f ca="1">IF(AND('Mapa final'!$J$33="Media",'Mapa final'!$N$33="Mayor"),CONCATENATE("R",'Mapa final'!$A$33),"")</f>
        <v/>
      </c>
      <c r="AE24" s="260"/>
      <c r="AF24" s="260" t="str">
        <f ca="1">IF(AND('Mapa final'!$J$39="Media",'Mapa final'!$N$39="Mayor"),CONCATENATE("R",'Mapa final'!$A$39),"")</f>
        <v/>
      </c>
      <c r="AG24" s="261"/>
      <c r="AH24" s="249" t="str">
        <f ca="1">IF(AND('Mapa final'!$J$27="Media",'Mapa final'!$N$27="Catastrófico"),CONCATENATE("R",'Mapa final'!$A$27),"")</f>
        <v/>
      </c>
      <c r="AI24" s="250"/>
      <c r="AJ24" s="250" t="str">
        <f ca="1">IF(AND('Mapa final'!$J$33="Media",'Mapa final'!$N$33="Catastrófico"),CONCATENATE("R",'Mapa final'!$A$33),"")</f>
        <v/>
      </c>
      <c r="AK24" s="250"/>
      <c r="AL24" s="250" t="str">
        <f ca="1">IF(AND('Mapa final'!$J$39="Media",'Mapa final'!$N$39="Catastrófico"),CONCATENATE("R",'Mapa final'!$A$39),"")</f>
        <v/>
      </c>
      <c r="AM24" s="251"/>
      <c r="AN24" s="70"/>
      <c r="AO24" s="303"/>
      <c r="AP24" s="304"/>
      <c r="AQ24" s="304"/>
      <c r="AR24" s="304"/>
      <c r="AS24" s="304"/>
      <c r="AT24" s="305"/>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x14ac:dyDescent="0.25">
      <c r="A25" s="70"/>
      <c r="B25" s="280"/>
      <c r="C25" s="280"/>
      <c r="D25" s="281"/>
      <c r="E25" s="272"/>
      <c r="F25" s="273"/>
      <c r="G25" s="273"/>
      <c r="H25" s="273"/>
      <c r="I25" s="274"/>
      <c r="J25" s="240"/>
      <c r="K25" s="241"/>
      <c r="L25" s="241"/>
      <c r="M25" s="241"/>
      <c r="N25" s="241"/>
      <c r="O25" s="242"/>
      <c r="P25" s="240"/>
      <c r="Q25" s="241"/>
      <c r="R25" s="241"/>
      <c r="S25" s="241"/>
      <c r="T25" s="241"/>
      <c r="U25" s="242"/>
      <c r="V25" s="240"/>
      <c r="W25" s="241"/>
      <c r="X25" s="241"/>
      <c r="Y25" s="241"/>
      <c r="Z25" s="241"/>
      <c r="AA25" s="242"/>
      <c r="AB25" s="258"/>
      <c r="AC25" s="259"/>
      <c r="AD25" s="260"/>
      <c r="AE25" s="260"/>
      <c r="AF25" s="260"/>
      <c r="AG25" s="261"/>
      <c r="AH25" s="249"/>
      <c r="AI25" s="250"/>
      <c r="AJ25" s="250"/>
      <c r="AK25" s="250"/>
      <c r="AL25" s="250"/>
      <c r="AM25" s="251"/>
      <c r="AN25" s="70"/>
      <c r="AO25" s="303"/>
      <c r="AP25" s="304"/>
      <c r="AQ25" s="304"/>
      <c r="AR25" s="304"/>
      <c r="AS25" s="304"/>
      <c r="AT25" s="305"/>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x14ac:dyDescent="0.25">
      <c r="A26" s="70"/>
      <c r="B26" s="280"/>
      <c r="C26" s="280"/>
      <c r="D26" s="281"/>
      <c r="E26" s="272"/>
      <c r="F26" s="273"/>
      <c r="G26" s="273"/>
      <c r="H26" s="273"/>
      <c r="I26" s="274"/>
      <c r="J26" s="240" t="str">
        <f ca="1">IF(AND('Mapa final'!$J$45="Media",'Mapa final'!$N$45="Leve"),CONCATENATE("R",'Mapa final'!$A$45),"")</f>
        <v/>
      </c>
      <c r="K26" s="241"/>
      <c r="L26" s="241" t="str">
        <f ca="1">IF(AND('Mapa final'!$J$51="Media",'Mapa final'!$N$51="Leve"),CONCATENATE("R",'Mapa final'!$A$51),"")</f>
        <v/>
      </c>
      <c r="M26" s="241"/>
      <c r="N26" s="241" t="str">
        <f ca="1">IF(AND('Mapa final'!$J$57="Media",'Mapa final'!$N$57="Leve"),CONCATENATE("R",'Mapa final'!$A$57),"")</f>
        <v/>
      </c>
      <c r="O26" s="242"/>
      <c r="P26" s="240" t="str">
        <f ca="1">IF(AND('Mapa final'!$J$45="Media",'Mapa final'!$N$45="Menor"),CONCATENATE("R",'Mapa final'!$A$45),"")</f>
        <v/>
      </c>
      <c r="Q26" s="241"/>
      <c r="R26" s="241" t="str">
        <f ca="1">IF(AND('Mapa final'!$J$51="Media",'Mapa final'!$N$51="Menor"),CONCATENATE("R",'Mapa final'!$A$51),"")</f>
        <v/>
      </c>
      <c r="S26" s="241"/>
      <c r="T26" s="241" t="str">
        <f ca="1">IF(AND('Mapa final'!$J$57="Media",'Mapa final'!$N$57="Menor"),CONCATENATE("R",'Mapa final'!$A$57),"")</f>
        <v/>
      </c>
      <c r="U26" s="242"/>
      <c r="V26" s="240" t="str">
        <f ca="1">IF(AND('Mapa final'!$J$45="Media",'Mapa final'!$N$45="Moderado"),CONCATENATE("R",'Mapa final'!$A$45),"")</f>
        <v/>
      </c>
      <c r="W26" s="241"/>
      <c r="X26" s="241" t="str">
        <f ca="1">IF(AND('Mapa final'!$J$51="Media",'Mapa final'!$N$51="Moderado"),CONCATENATE("R",'Mapa final'!$A$51),"")</f>
        <v/>
      </c>
      <c r="Y26" s="241"/>
      <c r="Z26" s="241" t="str">
        <f ca="1">IF(AND('Mapa final'!$J$57="Media",'Mapa final'!$N$57="Moderado"),CONCATENATE("R",'Mapa final'!$A$57),"")</f>
        <v/>
      </c>
      <c r="AA26" s="242"/>
      <c r="AB26" s="258" t="str">
        <f ca="1">IF(AND('Mapa final'!$J$45="Media",'Mapa final'!$N$45="Mayor"),CONCATENATE("R",'Mapa final'!$A$45),"")</f>
        <v/>
      </c>
      <c r="AC26" s="259"/>
      <c r="AD26" s="260" t="str">
        <f ca="1">IF(AND('Mapa final'!$J$51="Media",'Mapa final'!$N$51="Mayor"),CONCATENATE("R",'Mapa final'!$A$51),"")</f>
        <v/>
      </c>
      <c r="AE26" s="260"/>
      <c r="AF26" s="260" t="str">
        <f ca="1">IF(AND('Mapa final'!$J$57="Media",'Mapa final'!$N$57="Mayor"),CONCATENATE("R",'Mapa final'!$A$57),"")</f>
        <v/>
      </c>
      <c r="AG26" s="261"/>
      <c r="AH26" s="249" t="str">
        <f ca="1">IF(AND('Mapa final'!$J$45="Media",'Mapa final'!$N$45="Catastrófico"),CONCATENATE("R",'Mapa final'!$A$45),"")</f>
        <v/>
      </c>
      <c r="AI26" s="250"/>
      <c r="AJ26" s="250" t="str">
        <f ca="1">IF(AND('Mapa final'!$J$51="Media",'Mapa final'!$N$51="Catastrófico"),CONCATENATE("R",'Mapa final'!$A$51),"")</f>
        <v/>
      </c>
      <c r="AK26" s="250"/>
      <c r="AL26" s="250" t="str">
        <f ca="1">IF(AND('Mapa final'!$J$57="Media",'Mapa final'!$N$57="Catastrófico"),CONCATENATE("R",'Mapa final'!$A$57),"")</f>
        <v/>
      </c>
      <c r="AM26" s="251"/>
      <c r="AN26" s="70"/>
      <c r="AO26" s="303"/>
      <c r="AP26" s="304"/>
      <c r="AQ26" s="304"/>
      <c r="AR26" s="304"/>
      <c r="AS26" s="304"/>
      <c r="AT26" s="305"/>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x14ac:dyDescent="0.25">
      <c r="A27" s="70"/>
      <c r="B27" s="280"/>
      <c r="C27" s="280"/>
      <c r="D27" s="281"/>
      <c r="E27" s="272"/>
      <c r="F27" s="273"/>
      <c r="G27" s="273"/>
      <c r="H27" s="273"/>
      <c r="I27" s="274"/>
      <c r="J27" s="240"/>
      <c r="K27" s="241"/>
      <c r="L27" s="241"/>
      <c r="M27" s="241"/>
      <c r="N27" s="241"/>
      <c r="O27" s="242"/>
      <c r="P27" s="240"/>
      <c r="Q27" s="241"/>
      <c r="R27" s="241"/>
      <c r="S27" s="241"/>
      <c r="T27" s="241"/>
      <c r="U27" s="242"/>
      <c r="V27" s="240"/>
      <c r="W27" s="241"/>
      <c r="X27" s="241"/>
      <c r="Y27" s="241"/>
      <c r="Z27" s="241"/>
      <c r="AA27" s="242"/>
      <c r="AB27" s="258"/>
      <c r="AC27" s="259"/>
      <c r="AD27" s="260"/>
      <c r="AE27" s="260"/>
      <c r="AF27" s="260"/>
      <c r="AG27" s="261"/>
      <c r="AH27" s="249"/>
      <c r="AI27" s="250"/>
      <c r="AJ27" s="250"/>
      <c r="AK27" s="250"/>
      <c r="AL27" s="250"/>
      <c r="AM27" s="251"/>
      <c r="AN27" s="70"/>
      <c r="AO27" s="303"/>
      <c r="AP27" s="304"/>
      <c r="AQ27" s="304"/>
      <c r="AR27" s="304"/>
      <c r="AS27" s="304"/>
      <c r="AT27" s="305"/>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x14ac:dyDescent="0.25">
      <c r="A28" s="70"/>
      <c r="B28" s="280"/>
      <c r="C28" s="280"/>
      <c r="D28" s="281"/>
      <c r="E28" s="272"/>
      <c r="F28" s="273"/>
      <c r="G28" s="273"/>
      <c r="H28" s="273"/>
      <c r="I28" s="274"/>
      <c r="J28" s="240" t="str">
        <f ca="1">IF(AND('Mapa final'!$J$63="Media",'Mapa final'!$N$63="Leve"),CONCATENATE("R",'Mapa final'!$A$63),"")</f>
        <v/>
      </c>
      <c r="K28" s="241"/>
      <c r="L28" s="241" t="str">
        <f>IF(AND('Mapa final'!$J$70="Media",'Mapa final'!$N$70="Leve"),CONCATENATE("R",'Mapa final'!$A$70),"")</f>
        <v/>
      </c>
      <c r="M28" s="241"/>
      <c r="N28" s="241" t="str">
        <f>IF(AND('Mapa final'!$J$76="Media",'Mapa final'!$N$76="Leve"),CONCATENATE("R",'Mapa final'!$A$76),"")</f>
        <v/>
      </c>
      <c r="O28" s="242"/>
      <c r="P28" s="240" t="str">
        <f ca="1">IF(AND('Mapa final'!$J$63="Media",'Mapa final'!$N$63="Menor"),CONCATENATE("R",'Mapa final'!$A$63),"")</f>
        <v/>
      </c>
      <c r="Q28" s="241"/>
      <c r="R28" s="241" t="str">
        <f>IF(AND('Mapa final'!$J$70="Media",'Mapa final'!$N$70="Menor"),CONCATENATE("R",'Mapa final'!$A$70),"")</f>
        <v/>
      </c>
      <c r="S28" s="241"/>
      <c r="T28" s="241" t="str">
        <f>IF(AND('Mapa final'!$J$76="Media",'Mapa final'!$N$76="Menor"),CONCATENATE("R",'Mapa final'!$A$76),"")</f>
        <v/>
      </c>
      <c r="U28" s="242"/>
      <c r="V28" s="240" t="str">
        <f ca="1">IF(AND('Mapa final'!$J$63="Media",'Mapa final'!$N$63="Moderado"),CONCATENATE("R",'Mapa final'!$A$63),"")</f>
        <v/>
      </c>
      <c r="W28" s="241"/>
      <c r="X28" s="241" t="str">
        <f>IF(AND('Mapa final'!$J$70="Media",'Mapa final'!$N$70="Moderado"),CONCATENATE("R",'Mapa final'!$A$70),"")</f>
        <v/>
      </c>
      <c r="Y28" s="241"/>
      <c r="Z28" s="241" t="str">
        <f>IF(AND('Mapa final'!$J$76="Media",'Mapa final'!$N$76="Moderado"),CONCATENATE("R",'Mapa final'!$A$76),"")</f>
        <v/>
      </c>
      <c r="AA28" s="242"/>
      <c r="AB28" s="258" t="str">
        <f ca="1">IF(AND('Mapa final'!$J$63="Media",'Mapa final'!$N$63="Mayor"),CONCATENATE("R",'Mapa final'!$A$63),"")</f>
        <v/>
      </c>
      <c r="AC28" s="259"/>
      <c r="AD28" s="260" t="str">
        <f>IF(AND('Mapa final'!$J$70="Media",'Mapa final'!$N$70="Mayor"),CONCATENATE("R",'Mapa final'!$A$70),"")</f>
        <v/>
      </c>
      <c r="AE28" s="260"/>
      <c r="AF28" s="260" t="str">
        <f>IF(AND('Mapa final'!$J$76="Media",'Mapa final'!$N$76="Mayor"),CONCATENATE("R",'Mapa final'!$A$76),"")</f>
        <v/>
      </c>
      <c r="AG28" s="261"/>
      <c r="AH28" s="249" t="str">
        <f ca="1">IF(AND('Mapa final'!$J$63="Media",'Mapa final'!$N$63="Catastrófico"),CONCATENATE("R",'Mapa final'!$A$63),"")</f>
        <v/>
      </c>
      <c r="AI28" s="250"/>
      <c r="AJ28" s="250" t="str">
        <f>IF(AND('Mapa final'!$J$70="Media",'Mapa final'!$N$70="Catastrófico"),CONCATENATE("R",'Mapa final'!$A$70),"")</f>
        <v/>
      </c>
      <c r="AK28" s="250"/>
      <c r="AL28" s="250" t="str">
        <f>IF(AND('Mapa final'!$J$76="Media",'Mapa final'!$N$76="Catastrófico"),CONCATENATE("R",'Mapa final'!$A$76),"")</f>
        <v/>
      </c>
      <c r="AM28" s="251"/>
      <c r="AN28" s="70"/>
      <c r="AO28" s="303"/>
      <c r="AP28" s="304"/>
      <c r="AQ28" s="304"/>
      <c r="AR28" s="304"/>
      <c r="AS28" s="304"/>
      <c r="AT28" s="305"/>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thickBot="1" x14ac:dyDescent="0.3">
      <c r="A29" s="70"/>
      <c r="B29" s="280"/>
      <c r="C29" s="280"/>
      <c r="D29" s="281"/>
      <c r="E29" s="275"/>
      <c r="F29" s="276"/>
      <c r="G29" s="276"/>
      <c r="H29" s="276"/>
      <c r="I29" s="277"/>
      <c r="J29" s="240"/>
      <c r="K29" s="241"/>
      <c r="L29" s="241"/>
      <c r="M29" s="241"/>
      <c r="N29" s="241"/>
      <c r="O29" s="242"/>
      <c r="P29" s="243"/>
      <c r="Q29" s="244"/>
      <c r="R29" s="244"/>
      <c r="S29" s="244"/>
      <c r="T29" s="244"/>
      <c r="U29" s="245"/>
      <c r="V29" s="243"/>
      <c r="W29" s="244"/>
      <c r="X29" s="244"/>
      <c r="Y29" s="244"/>
      <c r="Z29" s="244"/>
      <c r="AA29" s="245"/>
      <c r="AB29" s="262"/>
      <c r="AC29" s="263"/>
      <c r="AD29" s="263"/>
      <c r="AE29" s="263"/>
      <c r="AF29" s="263"/>
      <c r="AG29" s="264"/>
      <c r="AH29" s="252"/>
      <c r="AI29" s="253"/>
      <c r="AJ29" s="253"/>
      <c r="AK29" s="253"/>
      <c r="AL29" s="253"/>
      <c r="AM29" s="254"/>
      <c r="AN29" s="70"/>
      <c r="AO29" s="306"/>
      <c r="AP29" s="307"/>
      <c r="AQ29" s="307"/>
      <c r="AR29" s="307"/>
      <c r="AS29" s="307"/>
      <c r="AT29" s="308"/>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x14ac:dyDescent="0.25">
      <c r="A30" s="70"/>
      <c r="B30" s="280"/>
      <c r="C30" s="280"/>
      <c r="D30" s="281"/>
      <c r="E30" s="269" t="s">
        <v>110</v>
      </c>
      <c r="F30" s="270"/>
      <c r="G30" s="270"/>
      <c r="H30" s="270"/>
      <c r="I30" s="270"/>
      <c r="J30" s="237" t="str">
        <f>IF(AND('Mapa final'!$J$9="Baja",'Mapa final'!$N$9="Leve"),CONCATENATE("R",'Mapa final'!$A$9),"")</f>
        <v/>
      </c>
      <c r="K30" s="238"/>
      <c r="L30" s="238" t="str">
        <f ca="1">IF(AND('Mapa final'!$J$15="Baja",'Mapa final'!$N$15="Leve"),CONCATENATE("R",'Mapa final'!$A$15),"")</f>
        <v>R2</v>
      </c>
      <c r="M30" s="238"/>
      <c r="N30" s="238" t="str">
        <f ca="1">IF(AND('Mapa final'!$J$21="Baja",'Mapa final'!$N$21="Leve"),CONCATENATE("R",'Mapa final'!$A$21),"")</f>
        <v/>
      </c>
      <c r="O30" s="239"/>
      <c r="P30" s="247" t="str">
        <f>IF(AND('Mapa final'!$J$9="Baja",'Mapa final'!$N$9="Menor"),CONCATENATE("R",'Mapa final'!$A$9),"")</f>
        <v/>
      </c>
      <c r="Q30" s="247"/>
      <c r="R30" s="247" t="str">
        <f ca="1">IF(AND('Mapa final'!$J$15="Baja",'Mapa final'!$N$15="Menor"),CONCATENATE("R",'Mapa final'!$A$15),"")</f>
        <v/>
      </c>
      <c r="S30" s="247"/>
      <c r="T30" s="247" t="str">
        <f ca="1">IF(AND('Mapa final'!$J$21="Baja",'Mapa final'!$N$21="Menor"),CONCATENATE("R",'Mapa final'!$A$21),"")</f>
        <v/>
      </c>
      <c r="U30" s="248"/>
      <c r="V30" s="246" t="str">
        <f>IF(AND('Mapa final'!$J$9="Baja",'Mapa final'!$N$9="Moderado"),CONCATENATE("R",'Mapa final'!$A$9),"")</f>
        <v/>
      </c>
      <c r="W30" s="247"/>
      <c r="X30" s="247" t="str">
        <f ca="1">IF(AND('Mapa final'!$J$15="Baja",'Mapa final'!$N$15="Moderado"),CONCATENATE("R",'Mapa final'!$A$15),"")</f>
        <v/>
      </c>
      <c r="Y30" s="247"/>
      <c r="Z30" s="247" t="str">
        <f ca="1">IF(AND('Mapa final'!$J$21="Baja",'Mapa final'!$N$21="Moderado"),CONCATENATE("R",'Mapa final'!$A$21),"")</f>
        <v/>
      </c>
      <c r="AA30" s="248"/>
      <c r="AB30" s="265" t="str">
        <f>IF(AND('Mapa final'!$J$9="Baja",'Mapa final'!$N$9="Mayor"),CONCATENATE("R",'Mapa final'!$A$9),"")</f>
        <v/>
      </c>
      <c r="AC30" s="266"/>
      <c r="AD30" s="266" t="str">
        <f ca="1">IF(AND('Mapa final'!$J$15="Baja",'Mapa final'!$N$15="Mayor"),CONCATENATE("R",'Mapa final'!$A$15),"")</f>
        <v/>
      </c>
      <c r="AE30" s="266"/>
      <c r="AF30" s="266" t="str">
        <f ca="1">IF(AND('Mapa final'!$J$21="Baja",'Mapa final'!$N$21="Mayor"),CONCATENATE("R",'Mapa final'!$A$21),"")</f>
        <v/>
      </c>
      <c r="AG30" s="267"/>
      <c r="AH30" s="255" t="str">
        <f>IF(AND('Mapa final'!$J$9="Baja",'Mapa final'!$N$9="Catastrófico"),CONCATENATE("R",'Mapa final'!$A$9),"")</f>
        <v/>
      </c>
      <c r="AI30" s="256"/>
      <c r="AJ30" s="256" t="str">
        <f ca="1">IF(AND('Mapa final'!$J$15="Baja",'Mapa final'!$N$15="Catastrófico"),CONCATENATE("R",'Mapa final'!$A$15),"")</f>
        <v/>
      </c>
      <c r="AK30" s="256"/>
      <c r="AL30" s="256" t="str">
        <f ca="1">IF(AND('Mapa final'!$J$21="Baja",'Mapa final'!$N$21="Catastrófico"),CONCATENATE("R",'Mapa final'!$A$21),"")</f>
        <v/>
      </c>
      <c r="AM30" s="257"/>
      <c r="AN30" s="70"/>
      <c r="AO30" s="309" t="s">
        <v>78</v>
      </c>
      <c r="AP30" s="310"/>
      <c r="AQ30" s="310"/>
      <c r="AR30" s="310"/>
      <c r="AS30" s="310"/>
      <c r="AT30" s="311"/>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x14ac:dyDescent="0.25">
      <c r="A31" s="70"/>
      <c r="B31" s="280"/>
      <c r="C31" s="280"/>
      <c r="D31" s="281"/>
      <c r="E31" s="272"/>
      <c r="F31" s="273"/>
      <c r="G31" s="273"/>
      <c r="H31" s="273"/>
      <c r="I31" s="278"/>
      <c r="J31" s="231"/>
      <c r="K31" s="232"/>
      <c r="L31" s="232"/>
      <c r="M31" s="232"/>
      <c r="N31" s="232"/>
      <c r="O31" s="233"/>
      <c r="P31" s="241"/>
      <c r="Q31" s="241"/>
      <c r="R31" s="241"/>
      <c r="S31" s="241"/>
      <c r="T31" s="241"/>
      <c r="U31" s="242"/>
      <c r="V31" s="240"/>
      <c r="W31" s="241"/>
      <c r="X31" s="241"/>
      <c r="Y31" s="241"/>
      <c r="Z31" s="241"/>
      <c r="AA31" s="242"/>
      <c r="AB31" s="258"/>
      <c r="AC31" s="259"/>
      <c r="AD31" s="259"/>
      <c r="AE31" s="259"/>
      <c r="AF31" s="259"/>
      <c r="AG31" s="261"/>
      <c r="AH31" s="249"/>
      <c r="AI31" s="250"/>
      <c r="AJ31" s="250"/>
      <c r="AK31" s="250"/>
      <c r="AL31" s="250"/>
      <c r="AM31" s="251"/>
      <c r="AN31" s="70"/>
      <c r="AO31" s="312"/>
      <c r="AP31" s="313"/>
      <c r="AQ31" s="313"/>
      <c r="AR31" s="313"/>
      <c r="AS31" s="313"/>
      <c r="AT31" s="314"/>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x14ac:dyDescent="0.25">
      <c r="A32" s="70"/>
      <c r="B32" s="280"/>
      <c r="C32" s="280"/>
      <c r="D32" s="281"/>
      <c r="E32" s="272"/>
      <c r="F32" s="273"/>
      <c r="G32" s="273"/>
      <c r="H32" s="273"/>
      <c r="I32" s="278"/>
      <c r="J32" s="231" t="str">
        <f ca="1">IF(AND('Mapa final'!$J$27="Baja",'Mapa final'!$N$27="Leve"),CONCATENATE("R",'Mapa final'!$A$27),"")</f>
        <v/>
      </c>
      <c r="K32" s="232"/>
      <c r="L32" s="232" t="str">
        <f ca="1">IF(AND('Mapa final'!$J$33="Baja",'Mapa final'!$N$33="Leve"),CONCATENATE("R",'Mapa final'!$A$33),"")</f>
        <v/>
      </c>
      <c r="M32" s="232"/>
      <c r="N32" s="232" t="str">
        <f ca="1">IF(AND('Mapa final'!$J$39="Baja",'Mapa final'!$N$39="Leve"),CONCATENATE("R",'Mapa final'!$A$39),"")</f>
        <v/>
      </c>
      <c r="O32" s="233"/>
      <c r="P32" s="241" t="str">
        <f ca="1">IF(AND('Mapa final'!$J$27="Baja",'Mapa final'!$N$27="Menor"),CONCATENATE("R",'Mapa final'!$A$27),"")</f>
        <v/>
      </c>
      <c r="Q32" s="241"/>
      <c r="R32" s="241" t="str">
        <f ca="1">IF(AND('Mapa final'!$J$33="Baja",'Mapa final'!$N$33="Menor"),CONCATENATE("R",'Mapa final'!$A$33),"")</f>
        <v/>
      </c>
      <c r="S32" s="241"/>
      <c r="T32" s="241" t="str">
        <f ca="1">IF(AND('Mapa final'!$J$39="Baja",'Mapa final'!$N$39="Menor"),CONCATENATE("R",'Mapa final'!$A$39),"")</f>
        <v/>
      </c>
      <c r="U32" s="242"/>
      <c r="V32" s="240" t="str">
        <f ca="1">IF(AND('Mapa final'!$J$27="Baja",'Mapa final'!$N$27="Moderado"),CONCATENATE("R",'Mapa final'!$A$27),"")</f>
        <v/>
      </c>
      <c r="W32" s="241"/>
      <c r="X32" s="241" t="str">
        <f ca="1">IF(AND('Mapa final'!$J$33="Baja",'Mapa final'!$N$33="Moderado"),CONCATENATE("R",'Mapa final'!$A$33),"")</f>
        <v/>
      </c>
      <c r="Y32" s="241"/>
      <c r="Z32" s="241" t="str">
        <f ca="1">IF(AND('Mapa final'!$J$39="Baja",'Mapa final'!$N$39="Moderado"),CONCATENATE("R",'Mapa final'!$A$39),"")</f>
        <v/>
      </c>
      <c r="AA32" s="242"/>
      <c r="AB32" s="258" t="str">
        <f ca="1">IF(AND('Mapa final'!$J$27="Baja",'Mapa final'!$N$27="Mayor"),CONCATENATE("R",'Mapa final'!$A$27),"")</f>
        <v/>
      </c>
      <c r="AC32" s="259"/>
      <c r="AD32" s="260" t="str">
        <f ca="1">IF(AND('Mapa final'!$J$33="Baja",'Mapa final'!$N$33="Mayor"),CONCATENATE("R",'Mapa final'!$A$33),"")</f>
        <v/>
      </c>
      <c r="AE32" s="260"/>
      <c r="AF32" s="260" t="str">
        <f ca="1">IF(AND('Mapa final'!$J$39="Baja",'Mapa final'!$N$39="Mayor"),CONCATENATE("R",'Mapa final'!$A$39),"")</f>
        <v/>
      </c>
      <c r="AG32" s="261"/>
      <c r="AH32" s="249" t="str">
        <f ca="1">IF(AND('Mapa final'!$J$27="Baja",'Mapa final'!$N$27="Catastrófico"),CONCATENATE("R",'Mapa final'!$A$27),"")</f>
        <v/>
      </c>
      <c r="AI32" s="250"/>
      <c r="AJ32" s="250" t="str">
        <f ca="1">IF(AND('Mapa final'!$J$33="Baja",'Mapa final'!$N$33="Catastrófico"),CONCATENATE("R",'Mapa final'!$A$33),"")</f>
        <v/>
      </c>
      <c r="AK32" s="250"/>
      <c r="AL32" s="250" t="str">
        <f ca="1">IF(AND('Mapa final'!$J$39="Baja",'Mapa final'!$N$39="Catastrófico"),CONCATENATE("R",'Mapa final'!$A$39),"")</f>
        <v/>
      </c>
      <c r="AM32" s="251"/>
      <c r="AN32" s="70"/>
      <c r="AO32" s="312"/>
      <c r="AP32" s="313"/>
      <c r="AQ32" s="313"/>
      <c r="AR32" s="313"/>
      <c r="AS32" s="313"/>
      <c r="AT32" s="314"/>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x14ac:dyDescent="0.25">
      <c r="A33" s="70"/>
      <c r="B33" s="280"/>
      <c r="C33" s="280"/>
      <c r="D33" s="281"/>
      <c r="E33" s="272"/>
      <c r="F33" s="273"/>
      <c r="G33" s="273"/>
      <c r="H33" s="273"/>
      <c r="I33" s="278"/>
      <c r="J33" s="231"/>
      <c r="K33" s="232"/>
      <c r="L33" s="232"/>
      <c r="M33" s="232"/>
      <c r="N33" s="232"/>
      <c r="O33" s="233"/>
      <c r="P33" s="241"/>
      <c r="Q33" s="241"/>
      <c r="R33" s="241"/>
      <c r="S33" s="241"/>
      <c r="T33" s="241"/>
      <c r="U33" s="242"/>
      <c r="V33" s="240"/>
      <c r="W33" s="241"/>
      <c r="X33" s="241"/>
      <c r="Y33" s="241"/>
      <c r="Z33" s="241"/>
      <c r="AA33" s="242"/>
      <c r="AB33" s="258"/>
      <c r="AC33" s="259"/>
      <c r="AD33" s="260"/>
      <c r="AE33" s="260"/>
      <c r="AF33" s="260"/>
      <c r="AG33" s="261"/>
      <c r="AH33" s="249"/>
      <c r="AI33" s="250"/>
      <c r="AJ33" s="250"/>
      <c r="AK33" s="250"/>
      <c r="AL33" s="250"/>
      <c r="AM33" s="251"/>
      <c r="AN33" s="70"/>
      <c r="AO33" s="312"/>
      <c r="AP33" s="313"/>
      <c r="AQ33" s="313"/>
      <c r="AR33" s="313"/>
      <c r="AS33" s="313"/>
      <c r="AT33" s="314"/>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x14ac:dyDescent="0.25">
      <c r="A34" s="70"/>
      <c r="B34" s="280"/>
      <c r="C34" s="280"/>
      <c r="D34" s="281"/>
      <c r="E34" s="272"/>
      <c r="F34" s="273"/>
      <c r="G34" s="273"/>
      <c r="H34" s="273"/>
      <c r="I34" s="278"/>
      <c r="J34" s="231" t="str">
        <f ca="1">IF(AND('Mapa final'!$J$45="Baja",'Mapa final'!$N$45="Leve"),CONCATENATE("R",'Mapa final'!$A$45),"")</f>
        <v/>
      </c>
      <c r="K34" s="232"/>
      <c r="L34" s="232" t="str">
        <f ca="1">IF(AND('Mapa final'!$J$51="Baja",'Mapa final'!$N$51="Leve"),CONCATENATE("R",'Mapa final'!$A$51),"")</f>
        <v/>
      </c>
      <c r="M34" s="232"/>
      <c r="N34" s="232" t="str">
        <f ca="1">IF(AND('Mapa final'!$J$57="Baja",'Mapa final'!$N$57="Leve"),CONCATENATE("R",'Mapa final'!$A$57),"")</f>
        <v/>
      </c>
      <c r="O34" s="233"/>
      <c r="P34" s="241" t="str">
        <f ca="1">IF(AND('Mapa final'!$J$45="Baja",'Mapa final'!$N$45="Menor"),CONCATENATE("R",'Mapa final'!$A$45),"")</f>
        <v/>
      </c>
      <c r="Q34" s="241"/>
      <c r="R34" s="241" t="str">
        <f ca="1">IF(AND('Mapa final'!$J$51="Baja",'Mapa final'!$N$51="Menor"),CONCATENATE("R",'Mapa final'!$A$51),"")</f>
        <v/>
      </c>
      <c r="S34" s="241"/>
      <c r="T34" s="241" t="str">
        <f ca="1">IF(AND('Mapa final'!$J$57="Baja",'Mapa final'!$N$57="Menor"),CONCATENATE("R",'Mapa final'!$A$57),"")</f>
        <v/>
      </c>
      <c r="U34" s="242"/>
      <c r="V34" s="240" t="str">
        <f ca="1">IF(AND('Mapa final'!$J$45="Baja",'Mapa final'!$N$45="Moderado"),CONCATENATE("R",'Mapa final'!$A$45),"")</f>
        <v/>
      </c>
      <c r="W34" s="241"/>
      <c r="X34" s="241" t="str">
        <f ca="1">IF(AND('Mapa final'!$J$51="Baja",'Mapa final'!$N$51="Moderado"),CONCATENATE("R",'Mapa final'!$A$51),"")</f>
        <v/>
      </c>
      <c r="Y34" s="241"/>
      <c r="Z34" s="241" t="str">
        <f ca="1">IF(AND('Mapa final'!$J$57="Baja",'Mapa final'!$N$57="Moderado"),CONCATENATE("R",'Mapa final'!$A$57),"")</f>
        <v/>
      </c>
      <c r="AA34" s="242"/>
      <c r="AB34" s="258" t="str">
        <f ca="1">IF(AND('Mapa final'!$J$45="Baja",'Mapa final'!$N$45="Mayor"),CONCATENATE("R",'Mapa final'!$A$45),"")</f>
        <v/>
      </c>
      <c r="AC34" s="259"/>
      <c r="AD34" s="260" t="str">
        <f ca="1">IF(AND('Mapa final'!$J$51="Baja",'Mapa final'!$N$51="Mayor"),CONCATENATE("R",'Mapa final'!$A$51),"")</f>
        <v/>
      </c>
      <c r="AE34" s="260"/>
      <c r="AF34" s="260" t="str">
        <f ca="1">IF(AND('Mapa final'!$J$57="Baja",'Mapa final'!$N$57="Mayor"),CONCATENATE("R",'Mapa final'!$A$57),"")</f>
        <v/>
      </c>
      <c r="AG34" s="261"/>
      <c r="AH34" s="249" t="str">
        <f ca="1">IF(AND('Mapa final'!$J$45="Baja",'Mapa final'!$N$45="Catastrófico"),CONCATENATE("R",'Mapa final'!$A$45),"")</f>
        <v/>
      </c>
      <c r="AI34" s="250"/>
      <c r="AJ34" s="250" t="str">
        <f ca="1">IF(AND('Mapa final'!$J$51="Baja",'Mapa final'!$N$51="Catastrófico"),CONCATENATE("R",'Mapa final'!$A$51),"")</f>
        <v/>
      </c>
      <c r="AK34" s="250"/>
      <c r="AL34" s="250" t="str">
        <f ca="1">IF(AND('Mapa final'!$J$57="Baja",'Mapa final'!$N$57="Catastrófico"),CONCATENATE("R",'Mapa final'!$A$57),"")</f>
        <v/>
      </c>
      <c r="AM34" s="251"/>
      <c r="AN34" s="70"/>
      <c r="AO34" s="312"/>
      <c r="AP34" s="313"/>
      <c r="AQ34" s="313"/>
      <c r="AR34" s="313"/>
      <c r="AS34" s="313"/>
      <c r="AT34" s="314"/>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x14ac:dyDescent="0.25">
      <c r="A35" s="70"/>
      <c r="B35" s="280"/>
      <c r="C35" s="280"/>
      <c r="D35" s="281"/>
      <c r="E35" s="272"/>
      <c r="F35" s="273"/>
      <c r="G35" s="273"/>
      <c r="H35" s="273"/>
      <c r="I35" s="278"/>
      <c r="J35" s="231"/>
      <c r="K35" s="232"/>
      <c r="L35" s="232"/>
      <c r="M35" s="232"/>
      <c r="N35" s="232"/>
      <c r="O35" s="233"/>
      <c r="P35" s="241"/>
      <c r="Q35" s="241"/>
      <c r="R35" s="241"/>
      <c r="S35" s="241"/>
      <c r="T35" s="241"/>
      <c r="U35" s="242"/>
      <c r="V35" s="240"/>
      <c r="W35" s="241"/>
      <c r="X35" s="241"/>
      <c r="Y35" s="241"/>
      <c r="Z35" s="241"/>
      <c r="AA35" s="242"/>
      <c r="AB35" s="258"/>
      <c r="AC35" s="259"/>
      <c r="AD35" s="260"/>
      <c r="AE35" s="260"/>
      <c r="AF35" s="260"/>
      <c r="AG35" s="261"/>
      <c r="AH35" s="249"/>
      <c r="AI35" s="250"/>
      <c r="AJ35" s="250"/>
      <c r="AK35" s="250"/>
      <c r="AL35" s="250"/>
      <c r="AM35" s="251"/>
      <c r="AN35" s="70"/>
      <c r="AO35" s="312"/>
      <c r="AP35" s="313"/>
      <c r="AQ35" s="313"/>
      <c r="AR35" s="313"/>
      <c r="AS35" s="313"/>
      <c r="AT35" s="314"/>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x14ac:dyDescent="0.25">
      <c r="A36" s="70"/>
      <c r="B36" s="280"/>
      <c r="C36" s="280"/>
      <c r="D36" s="281"/>
      <c r="E36" s="272"/>
      <c r="F36" s="273"/>
      <c r="G36" s="273"/>
      <c r="H36" s="273"/>
      <c r="I36" s="278"/>
      <c r="J36" s="231" t="str">
        <f ca="1">IF(AND('Mapa final'!$J$63="Baja",'Mapa final'!$N$63="Leve"),CONCATENATE("R",'Mapa final'!$A$63),"")</f>
        <v/>
      </c>
      <c r="K36" s="232"/>
      <c r="L36" s="232" t="str">
        <f>IF(AND('Mapa final'!$J$70="Baja",'Mapa final'!$N$70="Leve"),CONCATENATE("R",'Mapa final'!$A$70),"")</f>
        <v/>
      </c>
      <c r="M36" s="232"/>
      <c r="N36" s="232" t="str">
        <f>IF(AND('Mapa final'!$J$76="Baja",'Mapa final'!$N$76="Leve"),CONCATENATE("R",'Mapa final'!$A$76),"")</f>
        <v/>
      </c>
      <c r="O36" s="233"/>
      <c r="P36" s="241" t="str">
        <f ca="1">IF(AND('Mapa final'!$J$63="Baja",'Mapa final'!$N$63="Menor"),CONCATENATE("R",'Mapa final'!$A$63),"")</f>
        <v/>
      </c>
      <c r="Q36" s="241"/>
      <c r="R36" s="241" t="str">
        <f>IF(AND('Mapa final'!$J$70="Baja",'Mapa final'!$N$70="Menor"),CONCATENATE("R",'Mapa final'!$A$70),"")</f>
        <v/>
      </c>
      <c r="S36" s="241"/>
      <c r="T36" s="241" t="str">
        <f>IF(AND('Mapa final'!$J$76="Baja",'Mapa final'!$N$76="Menor"),CONCATENATE("R",'Mapa final'!$A$76),"")</f>
        <v/>
      </c>
      <c r="U36" s="242"/>
      <c r="V36" s="240" t="str">
        <f ca="1">IF(AND('Mapa final'!$J$63="Baja",'Mapa final'!$N$63="Moderado"),CONCATENATE("R",'Mapa final'!$A$63),"")</f>
        <v/>
      </c>
      <c r="W36" s="241"/>
      <c r="X36" s="241" t="str">
        <f>IF(AND('Mapa final'!$J$70="Baja",'Mapa final'!$N$70="Moderado"),CONCATENATE("R",'Mapa final'!$A$70),"")</f>
        <v/>
      </c>
      <c r="Y36" s="241"/>
      <c r="Z36" s="241" t="str">
        <f>IF(AND('Mapa final'!$J$76="Baja",'Mapa final'!$N$76="Moderado"),CONCATENATE("R",'Mapa final'!$A$76),"")</f>
        <v/>
      </c>
      <c r="AA36" s="242"/>
      <c r="AB36" s="258" t="str">
        <f ca="1">IF(AND('Mapa final'!$J$63="Baja",'Mapa final'!$N$63="Mayor"),CONCATENATE("R",'Mapa final'!$A$63),"")</f>
        <v/>
      </c>
      <c r="AC36" s="259"/>
      <c r="AD36" s="260" t="str">
        <f>IF(AND('Mapa final'!$J$70="Baja",'Mapa final'!$N$70="Mayor"),CONCATENATE("R",'Mapa final'!$A$70),"")</f>
        <v/>
      </c>
      <c r="AE36" s="260"/>
      <c r="AF36" s="260" t="str">
        <f>IF(AND('Mapa final'!$J$76="Baja",'Mapa final'!$N$76="Mayor"),CONCATENATE("R",'Mapa final'!$A$76),"")</f>
        <v/>
      </c>
      <c r="AG36" s="261"/>
      <c r="AH36" s="249" t="str">
        <f ca="1">IF(AND('Mapa final'!$J$63="Baja",'Mapa final'!$N$63="Catastrófico"),CONCATENATE("R",'Mapa final'!$A$63),"")</f>
        <v/>
      </c>
      <c r="AI36" s="250"/>
      <c r="AJ36" s="250" t="str">
        <f>IF(AND('Mapa final'!$J$70="Baja",'Mapa final'!$N$70="Catastrófico"),CONCATENATE("R",'Mapa final'!$A$70),"")</f>
        <v/>
      </c>
      <c r="AK36" s="250"/>
      <c r="AL36" s="250" t="str">
        <f>IF(AND('Mapa final'!$J$76="Baja",'Mapa final'!$N$76="Catastrófico"),CONCATENATE("R",'Mapa final'!$A$76),"")</f>
        <v/>
      </c>
      <c r="AM36" s="251"/>
      <c r="AN36" s="70"/>
      <c r="AO36" s="312"/>
      <c r="AP36" s="313"/>
      <c r="AQ36" s="313"/>
      <c r="AR36" s="313"/>
      <c r="AS36" s="313"/>
      <c r="AT36" s="314"/>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thickBot="1" x14ac:dyDescent="0.3">
      <c r="A37" s="70"/>
      <c r="B37" s="280"/>
      <c r="C37" s="280"/>
      <c r="D37" s="281"/>
      <c r="E37" s="275"/>
      <c r="F37" s="276"/>
      <c r="G37" s="276"/>
      <c r="H37" s="276"/>
      <c r="I37" s="276"/>
      <c r="J37" s="234"/>
      <c r="K37" s="235"/>
      <c r="L37" s="235"/>
      <c r="M37" s="235"/>
      <c r="N37" s="235"/>
      <c r="O37" s="236"/>
      <c r="P37" s="244"/>
      <c r="Q37" s="244"/>
      <c r="R37" s="244"/>
      <c r="S37" s="244"/>
      <c r="T37" s="244"/>
      <c r="U37" s="245"/>
      <c r="V37" s="243"/>
      <c r="W37" s="244"/>
      <c r="X37" s="244"/>
      <c r="Y37" s="244"/>
      <c r="Z37" s="244"/>
      <c r="AA37" s="245"/>
      <c r="AB37" s="262"/>
      <c r="AC37" s="263"/>
      <c r="AD37" s="263"/>
      <c r="AE37" s="263"/>
      <c r="AF37" s="263"/>
      <c r="AG37" s="264"/>
      <c r="AH37" s="252"/>
      <c r="AI37" s="253"/>
      <c r="AJ37" s="253"/>
      <c r="AK37" s="253"/>
      <c r="AL37" s="253"/>
      <c r="AM37" s="254"/>
      <c r="AN37" s="70"/>
      <c r="AO37" s="315"/>
      <c r="AP37" s="316"/>
      <c r="AQ37" s="316"/>
      <c r="AR37" s="316"/>
      <c r="AS37" s="316"/>
      <c r="AT37" s="317"/>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x14ac:dyDescent="0.25">
      <c r="A38" s="70"/>
      <c r="B38" s="280"/>
      <c r="C38" s="280"/>
      <c r="D38" s="281"/>
      <c r="E38" s="269" t="s">
        <v>109</v>
      </c>
      <c r="F38" s="270"/>
      <c r="G38" s="270"/>
      <c r="H38" s="270"/>
      <c r="I38" s="271"/>
      <c r="J38" s="237" t="str">
        <f>IF(AND('Mapa final'!$J$9="Muy Baja",'Mapa final'!$N$9="Leve"),CONCATENATE("R",'Mapa final'!$A$9),"")</f>
        <v/>
      </c>
      <c r="K38" s="238"/>
      <c r="L38" s="238" t="str">
        <f ca="1">IF(AND('Mapa final'!$J$15="Muy Baja",'Mapa final'!$N$15="Leve"),CONCATENATE("R",'Mapa final'!$A$15),"")</f>
        <v/>
      </c>
      <c r="M38" s="238"/>
      <c r="N38" s="238" t="str">
        <f ca="1">IF(AND('Mapa final'!$J$21="Muy Baja",'Mapa final'!$N$21="Leve"),CONCATENATE("R",'Mapa final'!$A$21),"")</f>
        <v/>
      </c>
      <c r="O38" s="239"/>
      <c r="P38" s="237" t="str">
        <f>IF(AND('Mapa final'!$J$9="Muy Baja",'Mapa final'!$N$9="Menor"),CONCATENATE("R",'Mapa final'!$A$9),"")</f>
        <v/>
      </c>
      <c r="Q38" s="238"/>
      <c r="R38" s="238" t="str">
        <f ca="1">IF(AND('Mapa final'!$J$15="Muy Baja",'Mapa final'!$N$15="Menor"),CONCATENATE("R",'Mapa final'!$A$15),"")</f>
        <v/>
      </c>
      <c r="S38" s="238"/>
      <c r="T38" s="238" t="str">
        <f ca="1">IF(AND('Mapa final'!$J$21="Muy Baja",'Mapa final'!$N$21="Menor"),CONCATENATE("R",'Mapa final'!$A$21),"")</f>
        <v/>
      </c>
      <c r="U38" s="239"/>
      <c r="V38" s="246" t="str">
        <f>IF(AND('Mapa final'!$J$9="Muy Baja",'Mapa final'!$N$9="Moderado"),CONCATENATE("R",'Mapa final'!$A$9),"")</f>
        <v/>
      </c>
      <c r="W38" s="247"/>
      <c r="X38" s="247" t="str">
        <f ca="1">IF(AND('Mapa final'!$J$15="Muy Baja",'Mapa final'!$N$15="Moderado"),CONCATENATE("R",'Mapa final'!$A$15),"")</f>
        <v/>
      </c>
      <c r="Y38" s="247"/>
      <c r="Z38" s="247" t="str">
        <f ca="1">IF(AND('Mapa final'!$J$21="Muy Baja",'Mapa final'!$N$21="Moderado"),CONCATENATE("R",'Mapa final'!$A$21),"")</f>
        <v/>
      </c>
      <c r="AA38" s="248"/>
      <c r="AB38" s="265" t="str">
        <f>IF(AND('Mapa final'!$J$9="Muy Baja",'Mapa final'!$N$9="Mayor"),CONCATENATE("R",'Mapa final'!$A$9),"")</f>
        <v/>
      </c>
      <c r="AC38" s="266"/>
      <c r="AD38" s="266" t="str">
        <f ca="1">IF(AND('Mapa final'!$J$15="Muy Baja",'Mapa final'!$N$15="Mayor"),CONCATENATE("R",'Mapa final'!$A$15),"")</f>
        <v/>
      </c>
      <c r="AE38" s="266"/>
      <c r="AF38" s="266" t="str">
        <f ca="1">IF(AND('Mapa final'!$J$21="Muy Baja",'Mapa final'!$N$21="Mayor"),CONCATENATE("R",'Mapa final'!$A$21),"")</f>
        <v/>
      </c>
      <c r="AG38" s="267"/>
      <c r="AH38" s="255" t="str">
        <f>IF(AND('Mapa final'!$J$9="Muy Baja",'Mapa final'!$N$9="Catastrófico"),CONCATENATE("R",'Mapa final'!$A$9),"")</f>
        <v/>
      </c>
      <c r="AI38" s="256"/>
      <c r="AJ38" s="256" t="str">
        <f ca="1">IF(AND('Mapa final'!$J$15="Muy Baja",'Mapa final'!$N$15="Catastrófico"),CONCATENATE("R",'Mapa final'!$A$15),"")</f>
        <v/>
      </c>
      <c r="AK38" s="256"/>
      <c r="AL38" s="256" t="str">
        <f ca="1">IF(AND('Mapa final'!$J$21="Muy Baja",'Mapa final'!$N$21="Catastrófico"),CONCATENATE("R",'Mapa final'!$A$21),"")</f>
        <v/>
      </c>
      <c r="AM38" s="257"/>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x14ac:dyDescent="0.25">
      <c r="A39" s="70"/>
      <c r="B39" s="280"/>
      <c r="C39" s="280"/>
      <c r="D39" s="281"/>
      <c r="E39" s="272"/>
      <c r="F39" s="273"/>
      <c r="G39" s="273"/>
      <c r="H39" s="273"/>
      <c r="I39" s="274"/>
      <c r="J39" s="231"/>
      <c r="K39" s="232"/>
      <c r="L39" s="232"/>
      <c r="M39" s="232"/>
      <c r="N39" s="232"/>
      <c r="O39" s="233"/>
      <c r="P39" s="231"/>
      <c r="Q39" s="232"/>
      <c r="R39" s="232"/>
      <c r="S39" s="232"/>
      <c r="T39" s="232"/>
      <c r="U39" s="233"/>
      <c r="V39" s="240"/>
      <c r="W39" s="241"/>
      <c r="X39" s="241"/>
      <c r="Y39" s="241"/>
      <c r="Z39" s="241"/>
      <c r="AA39" s="242"/>
      <c r="AB39" s="258"/>
      <c r="AC39" s="259"/>
      <c r="AD39" s="259"/>
      <c r="AE39" s="259"/>
      <c r="AF39" s="259"/>
      <c r="AG39" s="261"/>
      <c r="AH39" s="249"/>
      <c r="AI39" s="250"/>
      <c r="AJ39" s="250"/>
      <c r="AK39" s="250"/>
      <c r="AL39" s="250"/>
      <c r="AM39" s="251"/>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x14ac:dyDescent="0.25">
      <c r="A40" s="70"/>
      <c r="B40" s="280"/>
      <c r="C40" s="280"/>
      <c r="D40" s="281"/>
      <c r="E40" s="272"/>
      <c r="F40" s="273"/>
      <c r="G40" s="273"/>
      <c r="H40" s="273"/>
      <c r="I40" s="274"/>
      <c r="J40" s="231" t="str">
        <f ca="1">IF(AND('Mapa final'!$J$27="Muy Baja",'Mapa final'!$N$27="Leve"),CONCATENATE("R",'Mapa final'!$A$27),"")</f>
        <v/>
      </c>
      <c r="K40" s="232"/>
      <c r="L40" s="232" t="str">
        <f ca="1">IF(AND('Mapa final'!$J$33="Muy Baja",'Mapa final'!$N$33="Leve"),CONCATENATE("R",'Mapa final'!$A$33),"")</f>
        <v/>
      </c>
      <c r="M40" s="232"/>
      <c r="N40" s="232" t="str">
        <f ca="1">IF(AND('Mapa final'!$J$39="Muy Baja",'Mapa final'!$N$39="Leve"),CONCATENATE("R",'Mapa final'!$A$39),"")</f>
        <v/>
      </c>
      <c r="O40" s="233"/>
      <c r="P40" s="231" t="str">
        <f ca="1">IF(AND('Mapa final'!$J$27="Muy Baja",'Mapa final'!$N$27="Menor"),CONCATENATE("R",'Mapa final'!$A$27),"")</f>
        <v/>
      </c>
      <c r="Q40" s="232"/>
      <c r="R40" s="232" t="str">
        <f ca="1">IF(AND('Mapa final'!$J$33="Muy Baja",'Mapa final'!$N$33="Menor"),CONCATENATE("R",'Mapa final'!$A$33),"")</f>
        <v/>
      </c>
      <c r="S40" s="232"/>
      <c r="T40" s="232" t="str">
        <f ca="1">IF(AND('Mapa final'!$J$39="Muy Baja",'Mapa final'!$N$39="Menor"),CONCATENATE("R",'Mapa final'!$A$39),"")</f>
        <v/>
      </c>
      <c r="U40" s="233"/>
      <c r="V40" s="240" t="str">
        <f ca="1">IF(AND('Mapa final'!$J$27="Muy Baja",'Mapa final'!$N$27="Moderado"),CONCATENATE("R",'Mapa final'!$A$27),"")</f>
        <v/>
      </c>
      <c r="W40" s="241"/>
      <c r="X40" s="241" t="str">
        <f ca="1">IF(AND('Mapa final'!$J$33="Muy Baja",'Mapa final'!$N$33="Moderado"),CONCATENATE("R",'Mapa final'!$A$33),"")</f>
        <v/>
      </c>
      <c r="Y40" s="241"/>
      <c r="Z40" s="241" t="str">
        <f ca="1">IF(AND('Mapa final'!$J$39="Muy Baja",'Mapa final'!$N$39="Moderado"),CONCATENATE("R",'Mapa final'!$A$39),"")</f>
        <v/>
      </c>
      <c r="AA40" s="242"/>
      <c r="AB40" s="258" t="str">
        <f ca="1">IF(AND('Mapa final'!$J$27="Muy Baja",'Mapa final'!$N$27="Mayor"),CONCATENATE("R",'Mapa final'!$A$27),"")</f>
        <v/>
      </c>
      <c r="AC40" s="259"/>
      <c r="AD40" s="260" t="str">
        <f ca="1">IF(AND('Mapa final'!$J$33="Muy Baja",'Mapa final'!$N$33="Mayor"),CONCATENATE("R",'Mapa final'!$A$33),"")</f>
        <v/>
      </c>
      <c r="AE40" s="260"/>
      <c r="AF40" s="260" t="str">
        <f ca="1">IF(AND('Mapa final'!$J$39="Muy Baja",'Mapa final'!$N$39="Mayor"),CONCATENATE("R",'Mapa final'!$A$39),"")</f>
        <v/>
      </c>
      <c r="AG40" s="261"/>
      <c r="AH40" s="249" t="str">
        <f ca="1">IF(AND('Mapa final'!$J$27="Muy Baja",'Mapa final'!$N$27="Catastrófico"),CONCATENATE("R",'Mapa final'!$A$27),"")</f>
        <v/>
      </c>
      <c r="AI40" s="250"/>
      <c r="AJ40" s="250" t="str">
        <f ca="1">IF(AND('Mapa final'!$J$33="Muy Baja",'Mapa final'!$N$33="Catastrófico"),CONCATENATE("R",'Mapa final'!$A$33),"")</f>
        <v/>
      </c>
      <c r="AK40" s="250"/>
      <c r="AL40" s="250" t="str">
        <f ca="1">IF(AND('Mapa final'!$J$39="Muy Baja",'Mapa final'!$N$39="Catastrófico"),CONCATENATE("R",'Mapa final'!$A$39),"")</f>
        <v/>
      </c>
      <c r="AM40" s="251"/>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x14ac:dyDescent="0.25">
      <c r="A41" s="70"/>
      <c r="B41" s="280"/>
      <c r="C41" s="280"/>
      <c r="D41" s="281"/>
      <c r="E41" s="272"/>
      <c r="F41" s="273"/>
      <c r="G41" s="273"/>
      <c r="H41" s="273"/>
      <c r="I41" s="274"/>
      <c r="J41" s="231"/>
      <c r="K41" s="232"/>
      <c r="L41" s="232"/>
      <c r="M41" s="232"/>
      <c r="N41" s="232"/>
      <c r="O41" s="233"/>
      <c r="P41" s="231"/>
      <c r="Q41" s="232"/>
      <c r="R41" s="232"/>
      <c r="S41" s="232"/>
      <c r="T41" s="232"/>
      <c r="U41" s="233"/>
      <c r="V41" s="240"/>
      <c r="W41" s="241"/>
      <c r="X41" s="241"/>
      <c r="Y41" s="241"/>
      <c r="Z41" s="241"/>
      <c r="AA41" s="242"/>
      <c r="AB41" s="258"/>
      <c r="AC41" s="259"/>
      <c r="AD41" s="260"/>
      <c r="AE41" s="260"/>
      <c r="AF41" s="260"/>
      <c r="AG41" s="261"/>
      <c r="AH41" s="249"/>
      <c r="AI41" s="250"/>
      <c r="AJ41" s="250"/>
      <c r="AK41" s="250"/>
      <c r="AL41" s="250"/>
      <c r="AM41" s="251"/>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x14ac:dyDescent="0.25">
      <c r="A42" s="70"/>
      <c r="B42" s="280"/>
      <c r="C42" s="280"/>
      <c r="D42" s="281"/>
      <c r="E42" s="272"/>
      <c r="F42" s="273"/>
      <c r="G42" s="273"/>
      <c r="H42" s="273"/>
      <c r="I42" s="274"/>
      <c r="J42" s="231" t="str">
        <f ca="1">IF(AND('Mapa final'!$J$45="Muy Baja",'Mapa final'!$N$45="Leve"),CONCATENATE("R",'Mapa final'!$A$45),"")</f>
        <v/>
      </c>
      <c r="K42" s="232"/>
      <c r="L42" s="232" t="str">
        <f ca="1">IF(AND('Mapa final'!$J$51="Muy Baja",'Mapa final'!$N$51="Leve"),CONCATENATE("R",'Mapa final'!$A$51),"")</f>
        <v/>
      </c>
      <c r="M42" s="232"/>
      <c r="N42" s="232" t="str">
        <f ca="1">IF(AND('Mapa final'!$J$57="Muy Baja",'Mapa final'!$N$57="Leve"),CONCATENATE("R",'Mapa final'!$A$57),"")</f>
        <v/>
      </c>
      <c r="O42" s="233"/>
      <c r="P42" s="231" t="str">
        <f ca="1">IF(AND('Mapa final'!$J$45="Muy Baja",'Mapa final'!$N$45="Menor"),CONCATENATE("R",'Mapa final'!$A$45),"")</f>
        <v/>
      </c>
      <c r="Q42" s="232"/>
      <c r="R42" s="232" t="str">
        <f ca="1">IF(AND('Mapa final'!$J$51="Muy Baja",'Mapa final'!$N$51="Menor"),CONCATENATE("R",'Mapa final'!$A$51),"")</f>
        <v/>
      </c>
      <c r="S42" s="232"/>
      <c r="T42" s="232" t="str">
        <f ca="1">IF(AND('Mapa final'!$J$57="Muy Baja",'Mapa final'!$N$57="Menor"),CONCATENATE("R",'Mapa final'!$A$57),"")</f>
        <v/>
      </c>
      <c r="U42" s="233"/>
      <c r="V42" s="240" t="str">
        <f ca="1">IF(AND('Mapa final'!$J$45="Muy Baja",'Mapa final'!$N$45="Moderado"),CONCATENATE("R",'Mapa final'!$A$45),"")</f>
        <v/>
      </c>
      <c r="W42" s="241"/>
      <c r="X42" s="241" t="str">
        <f ca="1">IF(AND('Mapa final'!$J$51="Muy Baja",'Mapa final'!$N$51="Moderado"),CONCATENATE("R",'Mapa final'!$A$51),"")</f>
        <v/>
      </c>
      <c r="Y42" s="241"/>
      <c r="Z42" s="241" t="str">
        <f ca="1">IF(AND('Mapa final'!$J$57="Muy Baja",'Mapa final'!$N$57="Moderado"),CONCATENATE("R",'Mapa final'!$A$57),"")</f>
        <v/>
      </c>
      <c r="AA42" s="242"/>
      <c r="AB42" s="258" t="str">
        <f ca="1">IF(AND('Mapa final'!$J$45="Muy Baja",'Mapa final'!$N$45="Mayor"),CONCATENATE("R",'Mapa final'!$A$45),"")</f>
        <v/>
      </c>
      <c r="AC42" s="259"/>
      <c r="AD42" s="260" t="str">
        <f ca="1">IF(AND('Mapa final'!$J$51="Muy Baja",'Mapa final'!$N$51="Mayor"),CONCATENATE("R",'Mapa final'!$A$51),"")</f>
        <v/>
      </c>
      <c r="AE42" s="260"/>
      <c r="AF42" s="260" t="str">
        <f ca="1">IF(AND('Mapa final'!$J$57="Muy Baja",'Mapa final'!$N$57="Mayor"),CONCATENATE("R",'Mapa final'!$A$57),"")</f>
        <v/>
      </c>
      <c r="AG42" s="261"/>
      <c r="AH42" s="249" t="str">
        <f ca="1">IF(AND('Mapa final'!$J$45="Muy Baja",'Mapa final'!$N$45="Catastrófico"),CONCATENATE("R",'Mapa final'!$A$45),"")</f>
        <v/>
      </c>
      <c r="AI42" s="250"/>
      <c r="AJ42" s="250" t="str">
        <f ca="1">IF(AND('Mapa final'!$J$51="Muy Baja",'Mapa final'!$N$51="Catastrófico"),CONCATENATE("R",'Mapa final'!$A$51),"")</f>
        <v/>
      </c>
      <c r="AK42" s="250"/>
      <c r="AL42" s="250" t="str">
        <f ca="1">IF(AND('Mapa final'!$J$57="Muy Baja",'Mapa final'!$N$57="Catastrófico"),CONCATENATE("R",'Mapa final'!$A$57),"")</f>
        <v/>
      </c>
      <c r="AM42" s="251"/>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x14ac:dyDescent="0.25">
      <c r="A43" s="70"/>
      <c r="B43" s="280"/>
      <c r="C43" s="280"/>
      <c r="D43" s="281"/>
      <c r="E43" s="272"/>
      <c r="F43" s="273"/>
      <c r="G43" s="273"/>
      <c r="H43" s="273"/>
      <c r="I43" s="274"/>
      <c r="J43" s="231"/>
      <c r="K43" s="232"/>
      <c r="L43" s="232"/>
      <c r="M43" s="232"/>
      <c r="N43" s="232"/>
      <c r="O43" s="233"/>
      <c r="P43" s="231"/>
      <c r="Q43" s="232"/>
      <c r="R43" s="232"/>
      <c r="S43" s="232"/>
      <c r="T43" s="232"/>
      <c r="U43" s="233"/>
      <c r="V43" s="240"/>
      <c r="W43" s="241"/>
      <c r="X43" s="241"/>
      <c r="Y43" s="241"/>
      <c r="Z43" s="241"/>
      <c r="AA43" s="242"/>
      <c r="AB43" s="258"/>
      <c r="AC43" s="259"/>
      <c r="AD43" s="260"/>
      <c r="AE43" s="260"/>
      <c r="AF43" s="260"/>
      <c r="AG43" s="261"/>
      <c r="AH43" s="249"/>
      <c r="AI43" s="250"/>
      <c r="AJ43" s="250"/>
      <c r="AK43" s="250"/>
      <c r="AL43" s="250"/>
      <c r="AM43" s="251"/>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x14ac:dyDescent="0.25">
      <c r="A44" s="70"/>
      <c r="B44" s="280"/>
      <c r="C44" s="280"/>
      <c r="D44" s="281"/>
      <c r="E44" s="272"/>
      <c r="F44" s="273"/>
      <c r="G44" s="273"/>
      <c r="H44" s="273"/>
      <c r="I44" s="274"/>
      <c r="J44" s="231" t="str">
        <f ca="1">IF(AND('Mapa final'!$J$63="Muy Baja",'Mapa final'!$N$63="Leve"),CONCATENATE("R",'Mapa final'!$A$63),"")</f>
        <v/>
      </c>
      <c r="K44" s="232"/>
      <c r="L44" s="232" t="str">
        <f>IF(AND('Mapa final'!$J$70="Muy Baja",'Mapa final'!$N$70="Leve"),CONCATENATE("R",'Mapa final'!$A$70),"")</f>
        <v/>
      </c>
      <c r="M44" s="232"/>
      <c r="N44" s="232" t="str">
        <f>IF(AND('Mapa final'!$J$76="Muy Baja",'Mapa final'!$N$76="Leve"),CONCATENATE("R",'Mapa final'!$A$76),"")</f>
        <v/>
      </c>
      <c r="O44" s="233"/>
      <c r="P44" s="231" t="str">
        <f ca="1">IF(AND('Mapa final'!$J$63="Muy Baja",'Mapa final'!$N$63="Menor"),CONCATENATE("R",'Mapa final'!$A$63),"")</f>
        <v/>
      </c>
      <c r="Q44" s="232"/>
      <c r="R44" s="232" t="str">
        <f>IF(AND('Mapa final'!$J$70="Muy Baja",'Mapa final'!$N$70="Menor"),CONCATENATE("R",'Mapa final'!$A$70),"")</f>
        <v/>
      </c>
      <c r="S44" s="232"/>
      <c r="T44" s="232" t="str">
        <f>IF(AND('Mapa final'!$J$76="Muy Baja",'Mapa final'!$N$76="Menor"),CONCATENATE("R",'Mapa final'!$A$76),"")</f>
        <v/>
      </c>
      <c r="U44" s="233"/>
      <c r="V44" s="240" t="str">
        <f ca="1">IF(AND('Mapa final'!$J$63="Muy Baja",'Mapa final'!$N$63="Moderado"),CONCATENATE("R",'Mapa final'!$A$63),"")</f>
        <v/>
      </c>
      <c r="W44" s="241"/>
      <c r="X44" s="241" t="str">
        <f>IF(AND('Mapa final'!$J$70="Muy Baja",'Mapa final'!$N$70="Moderado"),CONCATENATE("R",'Mapa final'!$A$70),"")</f>
        <v/>
      </c>
      <c r="Y44" s="241"/>
      <c r="Z44" s="241" t="str">
        <f>IF(AND('Mapa final'!$J$76="Muy Baja",'Mapa final'!$N$76="Moderado"),CONCATENATE("R",'Mapa final'!$A$76),"")</f>
        <v/>
      </c>
      <c r="AA44" s="242"/>
      <c r="AB44" s="258" t="str">
        <f ca="1">IF(AND('Mapa final'!$J$63="Muy Baja",'Mapa final'!$N$63="Mayor"),CONCATENATE("R",'Mapa final'!$A$63),"")</f>
        <v/>
      </c>
      <c r="AC44" s="259"/>
      <c r="AD44" s="260" t="str">
        <f>IF(AND('Mapa final'!$J$70="Muy Baja",'Mapa final'!$N$70="Mayor"),CONCATENATE("R",'Mapa final'!$A$70),"")</f>
        <v/>
      </c>
      <c r="AE44" s="260"/>
      <c r="AF44" s="260" t="str">
        <f>IF(AND('Mapa final'!$J$76="Muy Baja",'Mapa final'!$N$76="Mayor"),CONCATENATE("R",'Mapa final'!$A$76),"")</f>
        <v/>
      </c>
      <c r="AG44" s="261"/>
      <c r="AH44" s="249" t="str">
        <f ca="1">IF(AND('Mapa final'!$J$63="Muy Baja",'Mapa final'!$N$63="Catastrófico"),CONCATENATE("R",'Mapa final'!$A$63),"")</f>
        <v/>
      </c>
      <c r="AI44" s="250"/>
      <c r="AJ44" s="250" t="str">
        <f>IF(AND('Mapa final'!$J$70="Muy Baja",'Mapa final'!$N$70="Catastrófico"),CONCATENATE("R",'Mapa final'!$A$70),"")</f>
        <v/>
      </c>
      <c r="AK44" s="250"/>
      <c r="AL44" s="250" t="str">
        <f>IF(AND('Mapa final'!$J$76="Muy Baja",'Mapa final'!$N$76="Catastrófico"),CONCATENATE("R",'Mapa final'!$A$76),"")</f>
        <v/>
      </c>
      <c r="AM44" s="251"/>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thickBot="1" x14ac:dyDescent="0.3">
      <c r="A45" s="70"/>
      <c r="B45" s="280"/>
      <c r="C45" s="280"/>
      <c r="D45" s="281"/>
      <c r="E45" s="275"/>
      <c r="F45" s="276"/>
      <c r="G45" s="276"/>
      <c r="H45" s="276"/>
      <c r="I45" s="277"/>
      <c r="J45" s="234"/>
      <c r="K45" s="235"/>
      <c r="L45" s="235"/>
      <c r="M45" s="235"/>
      <c r="N45" s="235"/>
      <c r="O45" s="236"/>
      <c r="P45" s="234"/>
      <c r="Q45" s="235"/>
      <c r="R45" s="235"/>
      <c r="S45" s="235"/>
      <c r="T45" s="235"/>
      <c r="U45" s="236"/>
      <c r="V45" s="243"/>
      <c r="W45" s="244"/>
      <c r="X45" s="244"/>
      <c r="Y45" s="244"/>
      <c r="Z45" s="244"/>
      <c r="AA45" s="245"/>
      <c r="AB45" s="262"/>
      <c r="AC45" s="263"/>
      <c r="AD45" s="263"/>
      <c r="AE45" s="263"/>
      <c r="AF45" s="263"/>
      <c r="AG45" s="264"/>
      <c r="AH45" s="252"/>
      <c r="AI45" s="253"/>
      <c r="AJ45" s="253"/>
      <c r="AK45" s="253"/>
      <c r="AL45" s="253"/>
      <c r="AM45" s="254"/>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69" t="s">
        <v>108</v>
      </c>
      <c r="K46" s="270"/>
      <c r="L46" s="270"/>
      <c r="M46" s="270"/>
      <c r="N46" s="270"/>
      <c r="O46" s="271"/>
      <c r="P46" s="269" t="s">
        <v>107</v>
      </c>
      <c r="Q46" s="270"/>
      <c r="R46" s="270"/>
      <c r="S46" s="270"/>
      <c r="T46" s="270"/>
      <c r="U46" s="271"/>
      <c r="V46" s="269" t="s">
        <v>106</v>
      </c>
      <c r="W46" s="270"/>
      <c r="X46" s="270"/>
      <c r="Y46" s="270"/>
      <c r="Z46" s="270"/>
      <c r="AA46" s="271"/>
      <c r="AB46" s="269" t="s">
        <v>105</v>
      </c>
      <c r="AC46" s="279"/>
      <c r="AD46" s="270"/>
      <c r="AE46" s="270"/>
      <c r="AF46" s="270"/>
      <c r="AG46" s="271"/>
      <c r="AH46" s="269" t="s">
        <v>104</v>
      </c>
      <c r="AI46" s="270"/>
      <c r="AJ46" s="270"/>
      <c r="AK46" s="270"/>
      <c r="AL46" s="270"/>
      <c r="AM46" s="271"/>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72"/>
      <c r="K47" s="273"/>
      <c r="L47" s="273"/>
      <c r="M47" s="273"/>
      <c r="N47" s="273"/>
      <c r="O47" s="274"/>
      <c r="P47" s="272"/>
      <c r="Q47" s="273"/>
      <c r="R47" s="273"/>
      <c r="S47" s="273"/>
      <c r="T47" s="273"/>
      <c r="U47" s="274"/>
      <c r="V47" s="272"/>
      <c r="W47" s="273"/>
      <c r="X47" s="273"/>
      <c r="Y47" s="273"/>
      <c r="Z47" s="273"/>
      <c r="AA47" s="274"/>
      <c r="AB47" s="272"/>
      <c r="AC47" s="273"/>
      <c r="AD47" s="273"/>
      <c r="AE47" s="273"/>
      <c r="AF47" s="273"/>
      <c r="AG47" s="274"/>
      <c r="AH47" s="272"/>
      <c r="AI47" s="273"/>
      <c r="AJ47" s="273"/>
      <c r="AK47" s="273"/>
      <c r="AL47" s="273"/>
      <c r="AM47" s="274"/>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72"/>
      <c r="K48" s="273"/>
      <c r="L48" s="273"/>
      <c r="M48" s="273"/>
      <c r="N48" s="273"/>
      <c r="O48" s="274"/>
      <c r="P48" s="272"/>
      <c r="Q48" s="273"/>
      <c r="R48" s="273"/>
      <c r="S48" s="273"/>
      <c r="T48" s="273"/>
      <c r="U48" s="274"/>
      <c r="V48" s="272"/>
      <c r="W48" s="273"/>
      <c r="X48" s="273"/>
      <c r="Y48" s="273"/>
      <c r="Z48" s="273"/>
      <c r="AA48" s="274"/>
      <c r="AB48" s="272"/>
      <c r="AC48" s="273"/>
      <c r="AD48" s="273"/>
      <c r="AE48" s="273"/>
      <c r="AF48" s="273"/>
      <c r="AG48" s="274"/>
      <c r="AH48" s="272"/>
      <c r="AI48" s="273"/>
      <c r="AJ48" s="273"/>
      <c r="AK48" s="273"/>
      <c r="AL48" s="273"/>
      <c r="AM48" s="274"/>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72"/>
      <c r="K49" s="273"/>
      <c r="L49" s="273"/>
      <c r="M49" s="273"/>
      <c r="N49" s="273"/>
      <c r="O49" s="274"/>
      <c r="P49" s="272"/>
      <c r="Q49" s="273"/>
      <c r="R49" s="273"/>
      <c r="S49" s="273"/>
      <c r="T49" s="273"/>
      <c r="U49" s="274"/>
      <c r="V49" s="272"/>
      <c r="W49" s="273"/>
      <c r="X49" s="273"/>
      <c r="Y49" s="273"/>
      <c r="Z49" s="273"/>
      <c r="AA49" s="274"/>
      <c r="AB49" s="272"/>
      <c r="AC49" s="273"/>
      <c r="AD49" s="273"/>
      <c r="AE49" s="273"/>
      <c r="AF49" s="273"/>
      <c r="AG49" s="274"/>
      <c r="AH49" s="272"/>
      <c r="AI49" s="273"/>
      <c r="AJ49" s="273"/>
      <c r="AK49" s="273"/>
      <c r="AL49" s="273"/>
      <c r="AM49" s="274"/>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72"/>
      <c r="K50" s="273"/>
      <c r="L50" s="273"/>
      <c r="M50" s="273"/>
      <c r="N50" s="273"/>
      <c r="O50" s="274"/>
      <c r="P50" s="272"/>
      <c r="Q50" s="273"/>
      <c r="R50" s="273"/>
      <c r="S50" s="273"/>
      <c r="T50" s="273"/>
      <c r="U50" s="274"/>
      <c r="V50" s="272"/>
      <c r="W50" s="273"/>
      <c r="X50" s="273"/>
      <c r="Y50" s="273"/>
      <c r="Z50" s="273"/>
      <c r="AA50" s="274"/>
      <c r="AB50" s="272"/>
      <c r="AC50" s="273"/>
      <c r="AD50" s="273"/>
      <c r="AE50" s="273"/>
      <c r="AF50" s="273"/>
      <c r="AG50" s="274"/>
      <c r="AH50" s="272"/>
      <c r="AI50" s="273"/>
      <c r="AJ50" s="273"/>
      <c r="AK50" s="273"/>
      <c r="AL50" s="273"/>
      <c r="AM50" s="274"/>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75"/>
      <c r="K51" s="276"/>
      <c r="L51" s="276"/>
      <c r="M51" s="276"/>
      <c r="N51" s="276"/>
      <c r="O51" s="277"/>
      <c r="P51" s="275"/>
      <c r="Q51" s="276"/>
      <c r="R51" s="276"/>
      <c r="S51" s="276"/>
      <c r="T51" s="276"/>
      <c r="U51" s="277"/>
      <c r="V51" s="275"/>
      <c r="W51" s="276"/>
      <c r="X51" s="276"/>
      <c r="Y51" s="276"/>
      <c r="Z51" s="276"/>
      <c r="AA51" s="277"/>
      <c r="AB51" s="275"/>
      <c r="AC51" s="276"/>
      <c r="AD51" s="276"/>
      <c r="AE51" s="276"/>
      <c r="AF51" s="276"/>
      <c r="AG51" s="277"/>
      <c r="AH51" s="275"/>
      <c r="AI51" s="276"/>
      <c r="AJ51" s="276"/>
      <c r="AK51" s="276"/>
      <c r="AL51" s="276"/>
      <c r="AM51" s="277"/>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M248"/>
  <sheetViews>
    <sheetView topLeftCell="A10" zoomScale="40" zoomScaleNormal="40" workbookViewId="0">
      <selection activeCell="M46" sqref="M4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48" t="s">
        <v>152</v>
      </c>
      <c r="C2" s="349"/>
      <c r="D2" s="349"/>
      <c r="E2" s="349"/>
      <c r="F2" s="349"/>
      <c r="G2" s="349"/>
      <c r="H2" s="349"/>
      <c r="I2" s="349"/>
      <c r="J2" s="268" t="s">
        <v>2</v>
      </c>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49"/>
      <c r="C3" s="349"/>
      <c r="D3" s="349"/>
      <c r="E3" s="349"/>
      <c r="F3" s="349"/>
      <c r="G3" s="349"/>
      <c r="H3" s="349"/>
      <c r="I3" s="349"/>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49"/>
      <c r="C4" s="349"/>
      <c r="D4" s="349"/>
      <c r="E4" s="349"/>
      <c r="F4" s="349"/>
      <c r="G4" s="349"/>
      <c r="H4" s="349"/>
      <c r="I4" s="349"/>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80" t="s">
        <v>3</v>
      </c>
      <c r="C6" s="280"/>
      <c r="D6" s="281"/>
      <c r="E6" s="318" t="s">
        <v>112</v>
      </c>
      <c r="F6" s="319"/>
      <c r="G6" s="319"/>
      <c r="H6" s="319"/>
      <c r="I6" s="320"/>
      <c r="J6" s="32" t="str">
        <f>IF(AND('Mapa final'!$AA$9="Muy Alta",'Mapa final'!$AC$9="Leve"),CONCATENATE("R1C",'Mapa final'!$Q$9),"")</f>
        <v/>
      </c>
      <c r="K6" s="33" t="str">
        <f>IF(AND('Mapa final'!$AA$10="Muy Alta",'Mapa final'!$AC$10="Leve"),CONCATENATE("R1C",'Mapa final'!$Q$10),"")</f>
        <v/>
      </c>
      <c r="L6" s="33" t="str">
        <f>IF(AND('Mapa final'!$AA$11="Muy Alta",'Mapa final'!$AC$11="Leve"),CONCATENATE("R1C",'Mapa final'!$Q$11),"")</f>
        <v/>
      </c>
      <c r="M6" s="33" t="str">
        <f>IF(AND('Mapa final'!$AA$12="Muy Alta",'Mapa final'!$AC$12="Leve"),CONCATENATE("R1C",'Mapa final'!$Q$12),"")</f>
        <v/>
      </c>
      <c r="N6" s="33" t="str">
        <f>IF(AND('Mapa final'!$AA$13="Muy Alta",'Mapa final'!$AC$13="Leve"),CONCATENATE("R1C",'Mapa final'!$Q$13),"")</f>
        <v/>
      </c>
      <c r="O6" s="34" t="str">
        <f>IF(AND('Mapa final'!$AA$14="Muy Alta",'Mapa final'!$AC$14="Leve"),CONCATENATE("R1C",'Mapa final'!$Q$14),"")</f>
        <v/>
      </c>
      <c r="P6" s="32" t="str">
        <f>IF(AND('Mapa final'!$AA$9="Muy Alta",'Mapa final'!$AC$9="Menor"),CONCATENATE("R1C",'Mapa final'!$Q$9),"")</f>
        <v/>
      </c>
      <c r="Q6" s="33" t="str">
        <f>IF(AND('Mapa final'!$AA$10="Muy Alta",'Mapa final'!$AC$10="Menor"),CONCATENATE("R1C",'Mapa final'!$Q$10),"")</f>
        <v/>
      </c>
      <c r="R6" s="33" t="str">
        <f>IF(AND('Mapa final'!$AA$11="Muy Alta",'Mapa final'!$AC$11="Menor"),CONCATENATE("R1C",'Mapa final'!$Q$11),"")</f>
        <v/>
      </c>
      <c r="S6" s="33" t="str">
        <f>IF(AND('Mapa final'!$AA$12="Muy Alta",'Mapa final'!$AC$12="Menor"),CONCATENATE("R1C",'Mapa final'!$Q$12),"")</f>
        <v/>
      </c>
      <c r="T6" s="33" t="str">
        <f>IF(AND('Mapa final'!$AA$13="Muy Alta",'Mapa final'!$AC$13="Menor"),CONCATENATE("R1C",'Mapa final'!$Q$13),"")</f>
        <v/>
      </c>
      <c r="U6" s="34" t="str">
        <f>IF(AND('Mapa final'!$AA$14="Muy Alta",'Mapa final'!$AC$14="Menor"),CONCATENATE("R1C",'Mapa final'!$Q$14),"")</f>
        <v/>
      </c>
      <c r="V6" s="32" t="str">
        <f>IF(AND('Mapa final'!$AA$9="Muy Alta",'Mapa final'!$AC$9="Moderado"),CONCATENATE("R1C",'Mapa final'!$Q$9),"")</f>
        <v/>
      </c>
      <c r="W6" s="33" t="str">
        <f>IF(AND('Mapa final'!$AA$10="Muy Alta",'Mapa final'!$AC$10="Moderado"),CONCATENATE("R1C",'Mapa final'!$Q$10),"")</f>
        <v/>
      </c>
      <c r="X6" s="33" t="str">
        <f>IF(AND('Mapa final'!$AA$11="Muy Alta",'Mapa final'!$AC$11="Moderado"),CONCATENATE("R1C",'Mapa final'!$Q$11),"")</f>
        <v/>
      </c>
      <c r="Y6" s="33" t="str">
        <f>IF(AND('Mapa final'!$AA$12="Muy Alta",'Mapa final'!$AC$12="Moderado"),CONCATENATE("R1C",'Mapa final'!$Q$12),"")</f>
        <v/>
      </c>
      <c r="Z6" s="33" t="str">
        <f>IF(AND('Mapa final'!$AA$13="Muy Alta",'Mapa final'!$AC$13="Moderado"),CONCATENATE("R1C",'Mapa final'!$Q$13),"")</f>
        <v/>
      </c>
      <c r="AA6" s="34" t="str">
        <f>IF(AND('Mapa final'!$AA$14="Muy Alta",'Mapa final'!$AC$14="Moderado"),CONCATENATE("R1C",'Mapa final'!$Q$14),"")</f>
        <v/>
      </c>
      <c r="AB6" s="32" t="str">
        <f>IF(AND('Mapa final'!$AA$9="Muy Alta",'Mapa final'!$AC$9="Mayor"),CONCATENATE("R1C",'Mapa final'!$Q$9),"")</f>
        <v/>
      </c>
      <c r="AC6" s="33" t="str">
        <f>IF(AND('Mapa final'!$AA$10="Muy Alta",'Mapa final'!$AC$10="Mayor"),CONCATENATE("R1C",'Mapa final'!$Q$10),"")</f>
        <v/>
      </c>
      <c r="AD6" s="33" t="str">
        <f>IF(AND('Mapa final'!$AA$11="Muy Alta",'Mapa final'!$AC$11="Mayor"),CONCATENATE("R1C",'Mapa final'!$Q$11),"")</f>
        <v/>
      </c>
      <c r="AE6" s="33" t="str">
        <f>IF(AND('Mapa final'!$AA$12="Muy Alta",'Mapa final'!$AC$12="Mayor"),CONCATENATE("R1C",'Mapa final'!$Q$12),"")</f>
        <v/>
      </c>
      <c r="AF6" s="33" t="str">
        <f>IF(AND('Mapa final'!$AA$13="Muy Alta",'Mapa final'!$AC$13="Mayor"),CONCATENATE("R1C",'Mapa final'!$Q$13),"")</f>
        <v/>
      </c>
      <c r="AG6" s="34" t="str">
        <f>IF(AND('Mapa final'!$AA$14="Muy Alta",'Mapa final'!$AC$14="Mayor"),CONCATENATE("R1C",'Mapa final'!$Q$14),"")</f>
        <v/>
      </c>
      <c r="AH6" s="35" t="str">
        <f>IF(AND('Mapa final'!$AA$9="Muy Alta",'Mapa final'!$AC$9="Catastrófico"),CONCATENATE("R1C",'Mapa final'!$Q$9),"")</f>
        <v/>
      </c>
      <c r="AI6" s="36" t="str">
        <f>IF(AND('Mapa final'!$AA$10="Muy Alta",'Mapa final'!$AC$10="Catastrófico"),CONCATENATE("R1C",'Mapa final'!$Q$10),"")</f>
        <v/>
      </c>
      <c r="AJ6" s="36" t="str">
        <f>IF(AND('Mapa final'!$AA$11="Muy Alta",'Mapa final'!$AC$11="Catastrófico"),CONCATENATE("R1C",'Mapa final'!$Q$11),"")</f>
        <v/>
      </c>
      <c r="AK6" s="36" t="str">
        <f>IF(AND('Mapa final'!$AA$12="Muy Alta",'Mapa final'!$AC$12="Catastrófico"),CONCATENATE("R1C",'Mapa final'!$Q$12),"")</f>
        <v/>
      </c>
      <c r="AL6" s="36" t="str">
        <f>IF(AND('Mapa final'!$AA$13="Muy Alta",'Mapa final'!$AC$13="Catastrófico"),CONCATENATE("R1C",'Mapa final'!$Q$13),"")</f>
        <v/>
      </c>
      <c r="AM6" s="37" t="str">
        <f>IF(AND('Mapa final'!$AA$14="Muy Alta",'Mapa final'!$AC$14="Catastrófico"),CONCATENATE("R1C",'Mapa final'!$Q$14),"")</f>
        <v/>
      </c>
      <c r="AN6" s="70"/>
      <c r="AO6" s="339" t="s">
        <v>75</v>
      </c>
      <c r="AP6" s="340"/>
      <c r="AQ6" s="340"/>
      <c r="AR6" s="340"/>
      <c r="AS6" s="340"/>
      <c r="AT6" s="341"/>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80"/>
      <c r="C7" s="280"/>
      <c r="D7" s="281"/>
      <c r="E7" s="321"/>
      <c r="F7" s="322"/>
      <c r="G7" s="322"/>
      <c r="H7" s="322"/>
      <c r="I7" s="323"/>
      <c r="J7" s="38" t="str">
        <f ca="1">IF(AND('Mapa final'!$AA$15="Muy Alta",'Mapa final'!$AC$15="Leve"),CONCATENATE("R2C",'Mapa final'!$Q$15),"")</f>
        <v/>
      </c>
      <c r="K7" s="39" t="str">
        <f>IF(AND('Mapa final'!$AA$16="Muy Alta",'Mapa final'!$AC$16="Leve"),CONCATENATE("R2C",'Mapa final'!$Q$16),"")</f>
        <v/>
      </c>
      <c r="L7" s="39" t="str">
        <f>IF(AND('Mapa final'!$AA$17="Muy Alta",'Mapa final'!$AC$17="Leve"),CONCATENATE("R2C",'Mapa final'!$Q$17),"")</f>
        <v/>
      </c>
      <c r="M7" s="39" t="str">
        <f>IF(AND('Mapa final'!$AA$18="Muy Alta",'Mapa final'!$AC$18="Leve"),CONCATENATE("R2C",'Mapa final'!$Q$18),"")</f>
        <v/>
      </c>
      <c r="N7" s="39" t="str">
        <f>IF(AND('Mapa final'!$AA$19="Muy Alta",'Mapa final'!$AC$19="Leve"),CONCATENATE("R2C",'Mapa final'!$Q$19),"")</f>
        <v/>
      </c>
      <c r="O7" s="40" t="str">
        <f>IF(AND('Mapa final'!$AA$20="Muy Alta",'Mapa final'!$AC$20="Leve"),CONCATENATE("R2C",'Mapa final'!$Q$20),"")</f>
        <v/>
      </c>
      <c r="P7" s="38" t="str">
        <f ca="1">IF(AND('Mapa final'!$AA$15="Muy Alta",'Mapa final'!$AC$15="Menor"),CONCATENATE("R2C",'Mapa final'!$Q$15),"")</f>
        <v/>
      </c>
      <c r="Q7" s="39" t="str">
        <f>IF(AND('Mapa final'!$AA$16="Muy Alta",'Mapa final'!$AC$16="Menor"),CONCATENATE("R2C",'Mapa final'!$Q$16),"")</f>
        <v/>
      </c>
      <c r="R7" s="39" t="str">
        <f>IF(AND('Mapa final'!$AA$17="Muy Alta",'Mapa final'!$AC$17="Menor"),CONCATENATE("R2C",'Mapa final'!$Q$17),"")</f>
        <v/>
      </c>
      <c r="S7" s="39" t="str">
        <f>IF(AND('Mapa final'!$AA$18="Muy Alta",'Mapa final'!$AC$18="Menor"),CONCATENATE("R2C",'Mapa final'!$Q$18),"")</f>
        <v/>
      </c>
      <c r="T7" s="39" t="str">
        <f>IF(AND('Mapa final'!$AA$19="Muy Alta",'Mapa final'!$AC$19="Menor"),CONCATENATE("R2C",'Mapa final'!$Q$19),"")</f>
        <v/>
      </c>
      <c r="U7" s="40" t="str">
        <f>IF(AND('Mapa final'!$AA$20="Muy Alta",'Mapa final'!$AC$20="Menor"),CONCATENATE("R2C",'Mapa final'!$Q$20),"")</f>
        <v/>
      </c>
      <c r="V7" s="38" t="str">
        <f ca="1">IF(AND('Mapa final'!$AA$15="Muy Alta",'Mapa final'!$AC$15="Moderado"),CONCATENATE("R2C",'Mapa final'!$Q$15),"")</f>
        <v/>
      </c>
      <c r="W7" s="39" t="str">
        <f>IF(AND('Mapa final'!$AA$16="Muy Alta",'Mapa final'!$AC$16="Moderado"),CONCATENATE("R2C",'Mapa final'!$Q$16),"")</f>
        <v/>
      </c>
      <c r="X7" s="39" t="str">
        <f>IF(AND('Mapa final'!$AA$17="Muy Alta",'Mapa final'!$AC$17="Moderado"),CONCATENATE("R2C",'Mapa final'!$Q$17),"")</f>
        <v/>
      </c>
      <c r="Y7" s="39" t="str">
        <f>IF(AND('Mapa final'!$AA$18="Muy Alta",'Mapa final'!$AC$18="Moderado"),CONCATENATE("R2C",'Mapa final'!$Q$18),"")</f>
        <v/>
      </c>
      <c r="Z7" s="39" t="str">
        <f>IF(AND('Mapa final'!$AA$19="Muy Alta",'Mapa final'!$AC$19="Moderado"),CONCATENATE("R2C",'Mapa final'!$Q$19),"")</f>
        <v/>
      </c>
      <c r="AA7" s="40" t="str">
        <f>IF(AND('Mapa final'!$AA$20="Muy Alta",'Mapa final'!$AC$20="Moderado"),CONCATENATE("R2C",'Mapa final'!$Q$20),"")</f>
        <v/>
      </c>
      <c r="AB7" s="38" t="str">
        <f ca="1">IF(AND('Mapa final'!$AA$15="Muy Alta",'Mapa final'!$AC$15="Mayor"),CONCATENATE("R2C",'Mapa final'!$Q$15),"")</f>
        <v/>
      </c>
      <c r="AC7" s="39" t="str">
        <f>IF(AND('Mapa final'!$AA$16="Muy Alta",'Mapa final'!$AC$16="Mayor"),CONCATENATE("R2C",'Mapa final'!$Q$16),"")</f>
        <v/>
      </c>
      <c r="AD7" s="39" t="str">
        <f>IF(AND('Mapa final'!$AA$17="Muy Alta",'Mapa final'!$AC$17="Mayor"),CONCATENATE("R2C",'Mapa final'!$Q$17),"")</f>
        <v/>
      </c>
      <c r="AE7" s="39" t="str">
        <f>IF(AND('Mapa final'!$AA$18="Muy Alta",'Mapa final'!$AC$18="Mayor"),CONCATENATE("R2C",'Mapa final'!$Q$18),"")</f>
        <v/>
      </c>
      <c r="AF7" s="39" t="str">
        <f>IF(AND('Mapa final'!$AA$19="Muy Alta",'Mapa final'!$AC$19="Mayor"),CONCATENATE("R2C",'Mapa final'!$Q$19),"")</f>
        <v/>
      </c>
      <c r="AG7" s="40" t="str">
        <f>IF(AND('Mapa final'!$AA$20="Muy Alta",'Mapa final'!$AC$20="Mayor"),CONCATENATE("R2C",'Mapa final'!$Q$20),"")</f>
        <v/>
      </c>
      <c r="AH7" s="41" t="str">
        <f ca="1">IF(AND('Mapa final'!$AA$15="Muy Alta",'Mapa final'!$AC$15="Catastrófico"),CONCATENATE("R2C",'Mapa final'!$Q$15),"")</f>
        <v/>
      </c>
      <c r="AI7" s="42" t="str">
        <f>IF(AND('Mapa final'!$AA$16="Muy Alta",'Mapa final'!$AC$16="Catastrófico"),CONCATENATE("R2C",'Mapa final'!$Q$16),"")</f>
        <v/>
      </c>
      <c r="AJ7" s="42" t="str">
        <f>IF(AND('Mapa final'!$AA$17="Muy Alta",'Mapa final'!$AC$17="Catastrófico"),CONCATENATE("R2C",'Mapa final'!$Q$17),"")</f>
        <v/>
      </c>
      <c r="AK7" s="42" t="str">
        <f>IF(AND('Mapa final'!$AA$18="Muy Alta",'Mapa final'!$AC$18="Catastrófico"),CONCATENATE("R2C",'Mapa final'!$Q$18),"")</f>
        <v/>
      </c>
      <c r="AL7" s="42" t="str">
        <f>IF(AND('Mapa final'!$AA$19="Muy Alta",'Mapa final'!$AC$19="Catastrófico"),CONCATENATE("R2C",'Mapa final'!$Q$19),"")</f>
        <v/>
      </c>
      <c r="AM7" s="43" t="str">
        <f>IF(AND('Mapa final'!$AA$20="Muy Alta",'Mapa final'!$AC$20="Catastrófico"),CONCATENATE("R2C",'Mapa final'!$Q$20),"")</f>
        <v/>
      </c>
      <c r="AN7" s="70"/>
      <c r="AO7" s="342"/>
      <c r="AP7" s="343"/>
      <c r="AQ7" s="343"/>
      <c r="AR7" s="343"/>
      <c r="AS7" s="343"/>
      <c r="AT7" s="344"/>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80"/>
      <c r="C8" s="280"/>
      <c r="D8" s="281"/>
      <c r="E8" s="321"/>
      <c r="F8" s="322"/>
      <c r="G8" s="322"/>
      <c r="H8" s="322"/>
      <c r="I8" s="323"/>
      <c r="J8" s="38" t="str">
        <f>IF(AND('Mapa final'!$AA$21="Muy Alta",'Mapa final'!$AC$21="Leve"),CONCATENATE("R3C",'Mapa final'!$Q$21),"")</f>
        <v/>
      </c>
      <c r="K8" s="39" t="str">
        <f>IF(AND('Mapa final'!$AA$22="Muy Alta",'Mapa final'!$AC$22="Leve"),CONCATENATE("R3C",'Mapa final'!$Q$22),"")</f>
        <v/>
      </c>
      <c r="L8" s="39" t="str">
        <f>IF(AND('Mapa final'!$AA$23="Muy Alta",'Mapa final'!$AC$23="Leve"),CONCATENATE("R3C",'Mapa final'!$Q$23),"")</f>
        <v/>
      </c>
      <c r="M8" s="39" t="str">
        <f>IF(AND('Mapa final'!$AA$24="Muy Alta",'Mapa final'!$AC$24="Leve"),CONCATENATE("R3C",'Mapa final'!$Q$24),"")</f>
        <v/>
      </c>
      <c r="N8" s="39" t="str">
        <f>IF(AND('Mapa final'!$AA$25="Muy Alta",'Mapa final'!$AC$25="Leve"),CONCATENATE("R3C",'Mapa final'!$Q$25),"")</f>
        <v/>
      </c>
      <c r="O8" s="40" t="str">
        <f>IF(AND('Mapa final'!$AA$26="Muy Alta",'Mapa final'!$AC$26="Leve"),CONCATENATE("R3C",'Mapa final'!$Q$26),"")</f>
        <v/>
      </c>
      <c r="P8" s="38" t="str">
        <f>IF(AND('Mapa final'!$AA$21="Muy Alta",'Mapa final'!$AC$21="Menor"),CONCATENATE("R3C",'Mapa final'!$Q$21),"")</f>
        <v/>
      </c>
      <c r="Q8" s="39" t="str">
        <f>IF(AND('Mapa final'!$AA$22="Muy Alta",'Mapa final'!$AC$22="Menor"),CONCATENATE("R3C",'Mapa final'!$Q$22),"")</f>
        <v/>
      </c>
      <c r="R8" s="39" t="str">
        <f>IF(AND('Mapa final'!$AA$23="Muy Alta",'Mapa final'!$AC$23="Menor"),CONCATENATE("R3C",'Mapa final'!$Q$23),"")</f>
        <v/>
      </c>
      <c r="S8" s="39" t="str">
        <f>IF(AND('Mapa final'!$AA$24="Muy Alta",'Mapa final'!$AC$24="Menor"),CONCATENATE("R3C",'Mapa final'!$Q$24),"")</f>
        <v/>
      </c>
      <c r="T8" s="39" t="str">
        <f>IF(AND('Mapa final'!$AA$25="Muy Alta",'Mapa final'!$AC$25="Menor"),CONCATENATE("R3C",'Mapa final'!$Q$25),"")</f>
        <v/>
      </c>
      <c r="U8" s="40" t="str">
        <f>IF(AND('Mapa final'!$AA$26="Muy Alta",'Mapa final'!$AC$26="Menor"),CONCATENATE("R3C",'Mapa final'!$Q$26),"")</f>
        <v/>
      </c>
      <c r="V8" s="38" t="str">
        <f>IF(AND('Mapa final'!$AA$21="Muy Alta",'Mapa final'!$AC$21="Moderado"),CONCATENATE("R3C",'Mapa final'!$Q$21),"")</f>
        <v/>
      </c>
      <c r="W8" s="39" t="str">
        <f>IF(AND('Mapa final'!$AA$22="Muy Alta",'Mapa final'!$AC$22="Moderado"),CONCATENATE("R3C",'Mapa final'!$Q$22),"")</f>
        <v/>
      </c>
      <c r="X8" s="39" t="str">
        <f>IF(AND('Mapa final'!$AA$23="Muy Alta",'Mapa final'!$AC$23="Moderado"),CONCATENATE("R3C",'Mapa final'!$Q$23),"")</f>
        <v/>
      </c>
      <c r="Y8" s="39" t="str">
        <f>IF(AND('Mapa final'!$AA$24="Muy Alta",'Mapa final'!$AC$24="Moderado"),CONCATENATE("R3C",'Mapa final'!$Q$24),"")</f>
        <v/>
      </c>
      <c r="Z8" s="39" t="str">
        <f>IF(AND('Mapa final'!$AA$25="Muy Alta",'Mapa final'!$AC$25="Moderado"),CONCATENATE("R3C",'Mapa final'!$Q$25),"")</f>
        <v/>
      </c>
      <c r="AA8" s="40" t="str">
        <f>IF(AND('Mapa final'!$AA$26="Muy Alta",'Mapa final'!$AC$26="Moderado"),CONCATENATE("R3C",'Mapa final'!$Q$26),"")</f>
        <v/>
      </c>
      <c r="AB8" s="38" t="str">
        <f>IF(AND('Mapa final'!$AA$21="Muy Alta",'Mapa final'!$AC$21="Mayor"),CONCATENATE("R3C",'Mapa final'!$Q$21),"")</f>
        <v/>
      </c>
      <c r="AC8" s="39" t="str">
        <f>IF(AND('Mapa final'!$AA$22="Muy Alta",'Mapa final'!$AC$22="Mayor"),CONCATENATE("R3C",'Mapa final'!$Q$22),"")</f>
        <v/>
      </c>
      <c r="AD8" s="39" t="str">
        <f>IF(AND('Mapa final'!$AA$23="Muy Alta",'Mapa final'!$AC$23="Mayor"),CONCATENATE("R3C",'Mapa final'!$Q$23),"")</f>
        <v/>
      </c>
      <c r="AE8" s="39" t="str">
        <f>IF(AND('Mapa final'!$AA$24="Muy Alta",'Mapa final'!$AC$24="Mayor"),CONCATENATE("R3C",'Mapa final'!$Q$24),"")</f>
        <v/>
      </c>
      <c r="AF8" s="39" t="str">
        <f>IF(AND('Mapa final'!$AA$25="Muy Alta",'Mapa final'!$AC$25="Mayor"),CONCATENATE("R3C",'Mapa final'!$Q$25),"")</f>
        <v/>
      </c>
      <c r="AG8" s="40" t="str">
        <f>IF(AND('Mapa final'!$AA$26="Muy Alta",'Mapa final'!$AC$26="Mayor"),CONCATENATE("R3C",'Mapa final'!$Q$26),"")</f>
        <v/>
      </c>
      <c r="AH8" s="41" t="str">
        <f>IF(AND('Mapa final'!$AA$21="Muy Alta",'Mapa final'!$AC$21="Catastrófico"),CONCATENATE("R3C",'Mapa final'!$Q$21),"")</f>
        <v/>
      </c>
      <c r="AI8" s="42" t="str">
        <f>IF(AND('Mapa final'!$AA$22="Muy Alta",'Mapa final'!$AC$22="Catastrófico"),CONCATENATE("R3C",'Mapa final'!$Q$22),"")</f>
        <v/>
      </c>
      <c r="AJ8" s="42" t="str">
        <f>IF(AND('Mapa final'!$AA$23="Muy Alta",'Mapa final'!$AC$23="Catastrófico"),CONCATENATE("R3C",'Mapa final'!$Q$23),"")</f>
        <v/>
      </c>
      <c r="AK8" s="42" t="str">
        <f>IF(AND('Mapa final'!$AA$24="Muy Alta",'Mapa final'!$AC$24="Catastrófico"),CONCATENATE("R3C",'Mapa final'!$Q$24),"")</f>
        <v/>
      </c>
      <c r="AL8" s="42" t="str">
        <f>IF(AND('Mapa final'!$AA$25="Muy Alta",'Mapa final'!$AC$25="Catastrófico"),CONCATENATE("R3C",'Mapa final'!$Q$25),"")</f>
        <v/>
      </c>
      <c r="AM8" s="43" t="str">
        <f>IF(AND('Mapa final'!$AA$26="Muy Alta",'Mapa final'!$AC$26="Catastrófico"),CONCATENATE("R3C",'Mapa final'!$Q$26),"")</f>
        <v/>
      </c>
      <c r="AN8" s="70"/>
      <c r="AO8" s="342"/>
      <c r="AP8" s="343"/>
      <c r="AQ8" s="343"/>
      <c r="AR8" s="343"/>
      <c r="AS8" s="343"/>
      <c r="AT8" s="344"/>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80"/>
      <c r="C9" s="280"/>
      <c r="D9" s="281"/>
      <c r="E9" s="321"/>
      <c r="F9" s="322"/>
      <c r="G9" s="322"/>
      <c r="H9" s="322"/>
      <c r="I9" s="323"/>
      <c r="J9" s="38" t="str">
        <f>IF(AND('Mapa final'!$AA$27="Muy Alta",'Mapa final'!$AC$27="Leve"),CONCATENATE("R4C",'Mapa final'!$Q$27),"")</f>
        <v/>
      </c>
      <c r="K9" s="39" t="str">
        <f>IF(AND('Mapa final'!$AA$28="Muy Alta",'Mapa final'!$AC$28="Leve"),CONCATENATE("R4C",'Mapa final'!$Q$28),"")</f>
        <v/>
      </c>
      <c r="L9" s="44" t="str">
        <f>IF(AND('Mapa final'!$AA$29="Muy Alta",'Mapa final'!$AC$29="Leve"),CONCATENATE("R4C",'Mapa final'!$Q$29),"")</f>
        <v/>
      </c>
      <c r="M9" s="44" t="str">
        <f>IF(AND('Mapa final'!$AA$30="Muy Alta",'Mapa final'!$AC$30="Leve"),CONCATENATE("R4C",'Mapa final'!$Q$30),"")</f>
        <v/>
      </c>
      <c r="N9" s="44" t="str">
        <f>IF(AND('Mapa final'!$AA$31="Muy Alta",'Mapa final'!$AC$31="Leve"),CONCATENATE("R4C",'Mapa final'!$Q$31),"")</f>
        <v/>
      </c>
      <c r="O9" s="40" t="str">
        <f>IF(AND('Mapa final'!$AA$32="Muy Alta",'Mapa final'!$AC$32="Leve"),CONCATENATE("R4C",'Mapa final'!$Q$32),"")</f>
        <v/>
      </c>
      <c r="P9" s="38" t="str">
        <f>IF(AND('Mapa final'!$AA$27="Muy Alta",'Mapa final'!$AC$27="Menor"),CONCATENATE("R4C",'Mapa final'!$Q$27),"")</f>
        <v/>
      </c>
      <c r="Q9" s="39" t="str">
        <f>IF(AND('Mapa final'!$AA$28="Muy Alta",'Mapa final'!$AC$28="Menor"),CONCATENATE("R4C",'Mapa final'!$Q$28),"")</f>
        <v/>
      </c>
      <c r="R9" s="44" t="str">
        <f>IF(AND('Mapa final'!$AA$29="Muy Alta",'Mapa final'!$AC$29="Menor"),CONCATENATE("R4C",'Mapa final'!$Q$29),"")</f>
        <v/>
      </c>
      <c r="S9" s="44" t="str">
        <f>IF(AND('Mapa final'!$AA$30="Muy Alta",'Mapa final'!$AC$30="Menor"),CONCATENATE("R4C",'Mapa final'!$Q$30),"")</f>
        <v/>
      </c>
      <c r="T9" s="44" t="str">
        <f>IF(AND('Mapa final'!$AA$31="Muy Alta",'Mapa final'!$AC$31="Menor"),CONCATENATE("R4C",'Mapa final'!$Q$31),"")</f>
        <v/>
      </c>
      <c r="U9" s="40" t="str">
        <f>IF(AND('Mapa final'!$AA$32="Muy Alta",'Mapa final'!$AC$32="Menor"),CONCATENATE("R4C",'Mapa final'!$Q$32),"")</f>
        <v/>
      </c>
      <c r="V9" s="38" t="str">
        <f>IF(AND('Mapa final'!$AA$27="Muy Alta",'Mapa final'!$AC$27="Moderado"),CONCATENATE("R4C",'Mapa final'!$Q$27),"")</f>
        <v/>
      </c>
      <c r="W9" s="39" t="str">
        <f>IF(AND('Mapa final'!$AA$28="Muy Alta",'Mapa final'!$AC$28="Moderado"),CONCATENATE("R4C",'Mapa final'!$Q$28),"")</f>
        <v/>
      </c>
      <c r="X9" s="44" t="str">
        <f>IF(AND('Mapa final'!$AA$29="Muy Alta",'Mapa final'!$AC$29="Moderado"),CONCATENATE("R4C",'Mapa final'!$Q$29),"")</f>
        <v/>
      </c>
      <c r="Y9" s="44" t="str">
        <f>IF(AND('Mapa final'!$AA$30="Muy Alta",'Mapa final'!$AC$30="Moderado"),CONCATENATE("R4C",'Mapa final'!$Q$30),"")</f>
        <v/>
      </c>
      <c r="Z9" s="44" t="str">
        <f>IF(AND('Mapa final'!$AA$31="Muy Alta",'Mapa final'!$AC$31="Moderado"),CONCATENATE("R4C",'Mapa final'!$Q$31),"")</f>
        <v/>
      </c>
      <c r="AA9" s="40" t="str">
        <f>IF(AND('Mapa final'!$AA$32="Muy Alta",'Mapa final'!$AC$32="Moderado"),CONCATENATE("R4C",'Mapa final'!$Q$32),"")</f>
        <v/>
      </c>
      <c r="AB9" s="38" t="str">
        <f>IF(AND('Mapa final'!$AA$27="Muy Alta",'Mapa final'!$AC$27="Mayor"),CONCATENATE("R4C",'Mapa final'!$Q$27),"")</f>
        <v/>
      </c>
      <c r="AC9" s="39" t="str">
        <f>IF(AND('Mapa final'!$AA$28="Muy Alta",'Mapa final'!$AC$28="Mayor"),CONCATENATE("R4C",'Mapa final'!$Q$28),"")</f>
        <v/>
      </c>
      <c r="AD9" s="44" t="str">
        <f>IF(AND('Mapa final'!$AA$29="Muy Alta",'Mapa final'!$AC$29="Mayor"),CONCATENATE("R4C",'Mapa final'!$Q$29),"")</f>
        <v/>
      </c>
      <c r="AE9" s="44" t="str">
        <f>IF(AND('Mapa final'!$AA$30="Muy Alta",'Mapa final'!$AC$30="Mayor"),CONCATENATE("R4C",'Mapa final'!$Q$30),"")</f>
        <v/>
      </c>
      <c r="AF9" s="44" t="str">
        <f>IF(AND('Mapa final'!$AA$31="Muy Alta",'Mapa final'!$AC$31="Mayor"),CONCATENATE("R4C",'Mapa final'!$Q$31),"")</f>
        <v/>
      </c>
      <c r="AG9" s="40" t="str">
        <f>IF(AND('Mapa final'!$AA$32="Muy Alta",'Mapa final'!$AC$32="Mayor"),CONCATENATE("R4C",'Mapa final'!$Q$32),"")</f>
        <v/>
      </c>
      <c r="AH9" s="41" t="str">
        <f>IF(AND('Mapa final'!$AA$27="Muy Alta",'Mapa final'!$AC$27="Catastrófico"),CONCATENATE("R4C",'Mapa final'!$Q$27),"")</f>
        <v/>
      </c>
      <c r="AI9" s="42" t="str">
        <f>IF(AND('Mapa final'!$AA$28="Muy Alta",'Mapa final'!$AC$28="Catastrófico"),CONCATENATE("R4C",'Mapa final'!$Q$28),"")</f>
        <v/>
      </c>
      <c r="AJ9" s="42" t="str">
        <f>IF(AND('Mapa final'!$AA$29="Muy Alta",'Mapa final'!$AC$29="Catastrófico"),CONCATENATE("R4C",'Mapa final'!$Q$29),"")</f>
        <v/>
      </c>
      <c r="AK9" s="42" t="str">
        <f>IF(AND('Mapa final'!$AA$30="Muy Alta",'Mapa final'!$AC$30="Catastrófico"),CONCATENATE("R4C",'Mapa final'!$Q$30),"")</f>
        <v/>
      </c>
      <c r="AL9" s="42" t="str">
        <f>IF(AND('Mapa final'!$AA$31="Muy Alta",'Mapa final'!$AC$31="Catastrófico"),CONCATENATE("R4C",'Mapa final'!$Q$31),"")</f>
        <v/>
      </c>
      <c r="AM9" s="43" t="str">
        <f>IF(AND('Mapa final'!$AA$32="Muy Alta",'Mapa final'!$AC$32="Catastrófico"),CONCATENATE("R4C",'Mapa final'!$Q$32),"")</f>
        <v/>
      </c>
      <c r="AN9" s="70"/>
      <c r="AO9" s="342"/>
      <c r="AP9" s="343"/>
      <c r="AQ9" s="343"/>
      <c r="AR9" s="343"/>
      <c r="AS9" s="343"/>
      <c r="AT9" s="344"/>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80"/>
      <c r="C10" s="280"/>
      <c r="D10" s="281"/>
      <c r="E10" s="321"/>
      <c r="F10" s="322"/>
      <c r="G10" s="322"/>
      <c r="H10" s="322"/>
      <c r="I10" s="323"/>
      <c r="J10" s="38" t="str">
        <f>IF(AND('Mapa final'!$AA$33="Muy Alta",'Mapa final'!$AC$33="Leve"),CONCATENATE("R5C",'Mapa final'!$Q$33),"")</f>
        <v/>
      </c>
      <c r="K10" s="39" t="str">
        <f>IF(AND('Mapa final'!$AA$34="Muy Alta",'Mapa final'!$AC$34="Leve"),CONCATENATE("R5C",'Mapa final'!$Q$34),"")</f>
        <v/>
      </c>
      <c r="L10" s="44" t="str">
        <f>IF(AND('Mapa final'!$AA$35="Muy Alta",'Mapa final'!$AC$35="Leve"),CONCATENATE("R5C",'Mapa final'!$Q$35),"")</f>
        <v/>
      </c>
      <c r="M10" s="44" t="str">
        <f>IF(AND('Mapa final'!$AA$36="Muy Alta",'Mapa final'!$AC$36="Leve"),CONCATENATE("R5C",'Mapa final'!$Q$36),"")</f>
        <v/>
      </c>
      <c r="N10" s="44" t="str">
        <f>IF(AND('Mapa final'!$AA$37="Muy Alta",'Mapa final'!$AC$37="Leve"),CONCATENATE("R5C",'Mapa final'!$Q$37),"")</f>
        <v/>
      </c>
      <c r="O10" s="40" t="str">
        <f>IF(AND('Mapa final'!$AA$38="Muy Alta",'Mapa final'!$AC$38="Leve"),CONCATENATE("R5C",'Mapa final'!$Q$38),"")</f>
        <v/>
      </c>
      <c r="P10" s="38" t="str">
        <f>IF(AND('Mapa final'!$AA$33="Muy Alta",'Mapa final'!$AC$33="Menor"),CONCATENATE("R5C",'Mapa final'!$Q$33),"")</f>
        <v/>
      </c>
      <c r="Q10" s="39" t="str">
        <f>IF(AND('Mapa final'!$AA$34="Muy Alta",'Mapa final'!$AC$34="Menor"),CONCATENATE("R5C",'Mapa final'!$Q$34),"")</f>
        <v/>
      </c>
      <c r="R10" s="44" t="str">
        <f>IF(AND('Mapa final'!$AA$35="Muy Alta",'Mapa final'!$AC$35="Menor"),CONCATENATE("R5C",'Mapa final'!$Q$35),"")</f>
        <v/>
      </c>
      <c r="S10" s="44" t="str">
        <f>IF(AND('Mapa final'!$AA$36="Muy Alta",'Mapa final'!$AC$36="Menor"),CONCATENATE("R5C",'Mapa final'!$Q$36),"")</f>
        <v/>
      </c>
      <c r="T10" s="44" t="str">
        <f>IF(AND('Mapa final'!$AA$37="Muy Alta",'Mapa final'!$AC$37="Menor"),CONCATENATE("R5C",'Mapa final'!$Q$37),"")</f>
        <v/>
      </c>
      <c r="U10" s="40" t="str">
        <f>IF(AND('Mapa final'!$AA$38="Muy Alta",'Mapa final'!$AC$38="Menor"),CONCATENATE("R5C",'Mapa final'!$Q$38),"")</f>
        <v/>
      </c>
      <c r="V10" s="38" t="str">
        <f>IF(AND('Mapa final'!$AA$33="Muy Alta",'Mapa final'!$AC$33="Moderado"),CONCATENATE("R5C",'Mapa final'!$Q$33),"")</f>
        <v/>
      </c>
      <c r="W10" s="39" t="str">
        <f>IF(AND('Mapa final'!$AA$34="Muy Alta",'Mapa final'!$AC$34="Moderado"),CONCATENATE("R5C",'Mapa final'!$Q$34),"")</f>
        <v/>
      </c>
      <c r="X10" s="44" t="str">
        <f>IF(AND('Mapa final'!$AA$35="Muy Alta",'Mapa final'!$AC$35="Moderado"),CONCATENATE("R5C",'Mapa final'!$Q$35),"")</f>
        <v/>
      </c>
      <c r="Y10" s="44" t="str">
        <f>IF(AND('Mapa final'!$AA$36="Muy Alta",'Mapa final'!$AC$36="Moderado"),CONCATENATE("R5C",'Mapa final'!$Q$36),"")</f>
        <v/>
      </c>
      <c r="Z10" s="44" t="str">
        <f>IF(AND('Mapa final'!$AA$37="Muy Alta",'Mapa final'!$AC$37="Moderado"),CONCATENATE("R5C",'Mapa final'!$Q$37),"")</f>
        <v/>
      </c>
      <c r="AA10" s="40" t="str">
        <f>IF(AND('Mapa final'!$AA$38="Muy Alta",'Mapa final'!$AC$38="Moderado"),CONCATENATE("R5C",'Mapa final'!$Q$38),"")</f>
        <v/>
      </c>
      <c r="AB10" s="38" t="str">
        <f>IF(AND('Mapa final'!$AA$33="Muy Alta",'Mapa final'!$AC$33="Mayor"),CONCATENATE("R5C",'Mapa final'!$Q$33),"")</f>
        <v/>
      </c>
      <c r="AC10" s="39" t="str">
        <f>IF(AND('Mapa final'!$AA$34="Muy Alta",'Mapa final'!$AC$34="Mayor"),CONCATENATE("R5C",'Mapa final'!$Q$34),"")</f>
        <v/>
      </c>
      <c r="AD10" s="44" t="str">
        <f>IF(AND('Mapa final'!$AA$35="Muy Alta",'Mapa final'!$AC$35="Mayor"),CONCATENATE("R5C",'Mapa final'!$Q$35),"")</f>
        <v/>
      </c>
      <c r="AE10" s="44" t="str">
        <f>IF(AND('Mapa final'!$AA$36="Muy Alta",'Mapa final'!$AC$36="Mayor"),CONCATENATE("R5C",'Mapa final'!$Q$36),"")</f>
        <v/>
      </c>
      <c r="AF10" s="44" t="str">
        <f>IF(AND('Mapa final'!$AA$37="Muy Alta",'Mapa final'!$AC$37="Mayor"),CONCATENATE("R5C",'Mapa final'!$Q$37),"")</f>
        <v/>
      </c>
      <c r="AG10" s="40" t="str">
        <f>IF(AND('Mapa final'!$AA$38="Muy Alta",'Mapa final'!$AC$38="Mayor"),CONCATENATE("R5C",'Mapa final'!$Q$38),"")</f>
        <v/>
      </c>
      <c r="AH10" s="41" t="str">
        <f>IF(AND('Mapa final'!$AA$33="Muy Alta",'Mapa final'!$AC$33="Catastrófico"),CONCATENATE("R5C",'Mapa final'!$Q$33),"")</f>
        <v/>
      </c>
      <c r="AI10" s="42" t="str">
        <f>IF(AND('Mapa final'!$AA$34="Muy Alta",'Mapa final'!$AC$34="Catastrófico"),CONCATENATE("R5C",'Mapa final'!$Q$34),"")</f>
        <v/>
      </c>
      <c r="AJ10" s="42" t="str">
        <f>IF(AND('Mapa final'!$AA$35="Muy Alta",'Mapa final'!$AC$35="Catastrófico"),CONCATENATE("R5C",'Mapa final'!$Q$35),"")</f>
        <v/>
      </c>
      <c r="AK10" s="42" t="str">
        <f>IF(AND('Mapa final'!$AA$36="Muy Alta",'Mapa final'!$AC$36="Catastrófico"),CONCATENATE("R5C",'Mapa final'!$Q$36),"")</f>
        <v/>
      </c>
      <c r="AL10" s="42" t="str">
        <f>IF(AND('Mapa final'!$AA$37="Muy Alta",'Mapa final'!$AC$37="Catastrófico"),CONCATENATE("R5C",'Mapa final'!$Q$37),"")</f>
        <v/>
      </c>
      <c r="AM10" s="43" t="str">
        <f>IF(AND('Mapa final'!$AA$38="Muy Alta",'Mapa final'!$AC$38="Catastrófico"),CONCATENATE("R5C",'Mapa final'!$Q$38),"")</f>
        <v/>
      </c>
      <c r="AN10" s="70"/>
      <c r="AO10" s="342"/>
      <c r="AP10" s="343"/>
      <c r="AQ10" s="343"/>
      <c r="AR10" s="343"/>
      <c r="AS10" s="343"/>
      <c r="AT10" s="344"/>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80"/>
      <c r="C11" s="280"/>
      <c r="D11" s="281"/>
      <c r="E11" s="321"/>
      <c r="F11" s="322"/>
      <c r="G11" s="322"/>
      <c r="H11" s="322"/>
      <c r="I11" s="323"/>
      <c r="J11" s="38" t="str">
        <f>IF(AND('Mapa final'!$AA$39="Muy Alta",'Mapa final'!$AC$39="Leve"),CONCATENATE("R6C",'Mapa final'!$Q$39),"")</f>
        <v/>
      </c>
      <c r="K11" s="39" t="str">
        <f>IF(AND('Mapa final'!$AA$40="Muy Alta",'Mapa final'!$AC$40="Leve"),CONCATENATE("R6C",'Mapa final'!$Q$40),"")</f>
        <v/>
      </c>
      <c r="L11" s="44" t="str">
        <f>IF(AND('Mapa final'!$AA$41="Muy Alta",'Mapa final'!$AC$41="Leve"),CONCATENATE("R6C",'Mapa final'!$Q$41),"")</f>
        <v/>
      </c>
      <c r="M11" s="44" t="str">
        <f>IF(AND('Mapa final'!$AA$42="Muy Alta",'Mapa final'!$AC$42="Leve"),CONCATENATE("R6C",'Mapa final'!$Q$42),"")</f>
        <v/>
      </c>
      <c r="N11" s="44" t="str">
        <f>IF(AND('Mapa final'!$AA$43="Muy Alta",'Mapa final'!$AC$43="Leve"),CONCATENATE("R6C",'Mapa final'!$Q$43),"")</f>
        <v/>
      </c>
      <c r="O11" s="40" t="str">
        <f>IF(AND('Mapa final'!$AA$44="Muy Alta",'Mapa final'!$AC$44="Leve"),CONCATENATE("R6C",'Mapa final'!$Q$44),"")</f>
        <v/>
      </c>
      <c r="P11" s="38" t="str">
        <f>IF(AND('Mapa final'!$AA$39="Muy Alta",'Mapa final'!$AC$39="Menor"),CONCATENATE("R6C",'Mapa final'!$Q$39),"")</f>
        <v/>
      </c>
      <c r="Q11" s="39" t="str">
        <f>IF(AND('Mapa final'!$AA$40="Muy Alta",'Mapa final'!$AC$40="Menor"),CONCATENATE("R6C",'Mapa final'!$Q$40),"")</f>
        <v/>
      </c>
      <c r="R11" s="44" t="str">
        <f>IF(AND('Mapa final'!$AA$41="Muy Alta",'Mapa final'!$AC$41="Menor"),CONCATENATE("R6C",'Mapa final'!$Q$41),"")</f>
        <v/>
      </c>
      <c r="S11" s="44" t="str">
        <f>IF(AND('Mapa final'!$AA$42="Muy Alta",'Mapa final'!$AC$42="Menor"),CONCATENATE("R6C",'Mapa final'!$Q$42),"")</f>
        <v/>
      </c>
      <c r="T11" s="44" t="str">
        <f>IF(AND('Mapa final'!$AA$43="Muy Alta",'Mapa final'!$AC$43="Menor"),CONCATENATE("R6C",'Mapa final'!$Q$43),"")</f>
        <v/>
      </c>
      <c r="U11" s="40" t="str">
        <f>IF(AND('Mapa final'!$AA$44="Muy Alta",'Mapa final'!$AC$44="Menor"),CONCATENATE("R6C",'Mapa final'!$Q$44),"")</f>
        <v/>
      </c>
      <c r="V11" s="38" t="str">
        <f>IF(AND('Mapa final'!$AA$39="Muy Alta",'Mapa final'!$AC$39="Moderado"),CONCATENATE("R6C",'Mapa final'!$Q$39),"")</f>
        <v/>
      </c>
      <c r="W11" s="39" t="str">
        <f>IF(AND('Mapa final'!$AA$40="Muy Alta",'Mapa final'!$AC$40="Moderado"),CONCATENATE("R6C",'Mapa final'!$Q$40),"")</f>
        <v/>
      </c>
      <c r="X11" s="44" t="str">
        <f>IF(AND('Mapa final'!$AA$41="Muy Alta",'Mapa final'!$AC$41="Moderado"),CONCATENATE("R6C",'Mapa final'!$Q$41),"")</f>
        <v/>
      </c>
      <c r="Y11" s="44" t="str">
        <f>IF(AND('Mapa final'!$AA$42="Muy Alta",'Mapa final'!$AC$42="Moderado"),CONCATENATE("R6C",'Mapa final'!$Q$42),"")</f>
        <v/>
      </c>
      <c r="Z11" s="44" t="str">
        <f>IF(AND('Mapa final'!$AA$43="Muy Alta",'Mapa final'!$AC$43="Moderado"),CONCATENATE("R6C",'Mapa final'!$Q$43),"")</f>
        <v/>
      </c>
      <c r="AA11" s="40" t="str">
        <f>IF(AND('Mapa final'!$AA$44="Muy Alta",'Mapa final'!$AC$44="Moderado"),CONCATENATE("R6C",'Mapa final'!$Q$44),"")</f>
        <v/>
      </c>
      <c r="AB11" s="38" t="str">
        <f>IF(AND('Mapa final'!$AA$39="Muy Alta",'Mapa final'!$AC$39="Mayor"),CONCATENATE("R6C",'Mapa final'!$Q$39),"")</f>
        <v/>
      </c>
      <c r="AC11" s="39" t="str">
        <f>IF(AND('Mapa final'!$AA$40="Muy Alta",'Mapa final'!$AC$40="Mayor"),CONCATENATE("R6C",'Mapa final'!$Q$40),"")</f>
        <v/>
      </c>
      <c r="AD11" s="44" t="str">
        <f>IF(AND('Mapa final'!$AA$41="Muy Alta",'Mapa final'!$AC$41="Mayor"),CONCATENATE("R6C",'Mapa final'!$Q$41),"")</f>
        <v/>
      </c>
      <c r="AE11" s="44" t="str">
        <f>IF(AND('Mapa final'!$AA$42="Muy Alta",'Mapa final'!$AC$42="Mayor"),CONCATENATE("R6C",'Mapa final'!$Q$42),"")</f>
        <v/>
      </c>
      <c r="AF11" s="44" t="str">
        <f>IF(AND('Mapa final'!$AA$43="Muy Alta",'Mapa final'!$AC$43="Mayor"),CONCATENATE("R6C",'Mapa final'!$Q$43),"")</f>
        <v/>
      </c>
      <c r="AG11" s="40" t="str">
        <f>IF(AND('Mapa final'!$AA$44="Muy Alta",'Mapa final'!$AC$44="Mayor"),CONCATENATE("R6C",'Mapa final'!$Q$44),"")</f>
        <v/>
      </c>
      <c r="AH11" s="41" t="str">
        <f>IF(AND('Mapa final'!$AA$39="Muy Alta",'Mapa final'!$AC$39="Catastrófico"),CONCATENATE("R6C",'Mapa final'!$Q$39),"")</f>
        <v/>
      </c>
      <c r="AI11" s="42" t="str">
        <f>IF(AND('Mapa final'!$AA$40="Muy Alta",'Mapa final'!$AC$40="Catastrófico"),CONCATENATE("R6C",'Mapa final'!$Q$40),"")</f>
        <v/>
      </c>
      <c r="AJ11" s="42" t="str">
        <f>IF(AND('Mapa final'!$AA$41="Muy Alta",'Mapa final'!$AC$41="Catastrófico"),CONCATENATE("R6C",'Mapa final'!$Q$41),"")</f>
        <v/>
      </c>
      <c r="AK11" s="42" t="str">
        <f>IF(AND('Mapa final'!$AA$42="Muy Alta",'Mapa final'!$AC$42="Catastrófico"),CONCATENATE("R6C",'Mapa final'!$Q$42),"")</f>
        <v/>
      </c>
      <c r="AL11" s="42" t="str">
        <f>IF(AND('Mapa final'!$AA$43="Muy Alta",'Mapa final'!$AC$43="Catastrófico"),CONCATENATE("R6C",'Mapa final'!$Q$43),"")</f>
        <v/>
      </c>
      <c r="AM11" s="43" t="str">
        <f>IF(AND('Mapa final'!$AA$44="Muy Alta",'Mapa final'!$AC$44="Catastrófico"),CONCATENATE("R6C",'Mapa final'!$Q$44),"")</f>
        <v/>
      </c>
      <c r="AN11" s="70"/>
      <c r="AO11" s="342"/>
      <c r="AP11" s="343"/>
      <c r="AQ11" s="343"/>
      <c r="AR11" s="343"/>
      <c r="AS11" s="343"/>
      <c r="AT11" s="344"/>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80"/>
      <c r="C12" s="280"/>
      <c r="D12" s="281"/>
      <c r="E12" s="321"/>
      <c r="F12" s="322"/>
      <c r="G12" s="322"/>
      <c r="H12" s="322"/>
      <c r="I12" s="323"/>
      <c r="J12" s="38" t="str">
        <f>IF(AND('Mapa final'!$AA$45="Muy Alta",'Mapa final'!$AC$45="Leve"),CONCATENATE("R7C",'Mapa final'!$Q$45),"")</f>
        <v/>
      </c>
      <c r="K12" s="39" t="str">
        <f>IF(AND('Mapa final'!$AA$46="Muy Alta",'Mapa final'!$AC$46="Leve"),CONCATENATE("R7C",'Mapa final'!$Q$46),"")</f>
        <v/>
      </c>
      <c r="L12" s="44" t="str">
        <f>IF(AND('Mapa final'!$AA$47="Muy Alta",'Mapa final'!$AC$47="Leve"),CONCATENATE("R7C",'Mapa final'!$Q$47),"")</f>
        <v/>
      </c>
      <c r="M12" s="44" t="str">
        <f>IF(AND('Mapa final'!$AA$48="Muy Alta",'Mapa final'!$AC$48="Leve"),CONCATENATE("R7C",'Mapa final'!$Q$48),"")</f>
        <v/>
      </c>
      <c r="N12" s="44" t="str">
        <f>IF(AND('Mapa final'!$AA$49="Muy Alta",'Mapa final'!$AC$49="Leve"),CONCATENATE("R7C",'Mapa final'!$Q$49),"")</f>
        <v/>
      </c>
      <c r="O12" s="40" t="str">
        <f>IF(AND('Mapa final'!$AA$50="Muy Alta",'Mapa final'!$AC$50="Leve"),CONCATENATE("R7C",'Mapa final'!$Q$50),"")</f>
        <v/>
      </c>
      <c r="P12" s="38" t="str">
        <f>IF(AND('Mapa final'!$AA$45="Muy Alta",'Mapa final'!$AC$45="Menor"),CONCATENATE("R7C",'Mapa final'!$Q$45),"")</f>
        <v/>
      </c>
      <c r="Q12" s="39" t="str">
        <f>IF(AND('Mapa final'!$AA$46="Muy Alta",'Mapa final'!$AC$46="Menor"),CONCATENATE("R7C",'Mapa final'!$Q$46),"")</f>
        <v/>
      </c>
      <c r="R12" s="44" t="str">
        <f>IF(AND('Mapa final'!$AA$47="Muy Alta",'Mapa final'!$AC$47="Menor"),CONCATENATE("R7C",'Mapa final'!$Q$47),"")</f>
        <v/>
      </c>
      <c r="S12" s="44" t="str">
        <f>IF(AND('Mapa final'!$AA$48="Muy Alta",'Mapa final'!$AC$48="Menor"),CONCATENATE("R7C",'Mapa final'!$Q$48),"")</f>
        <v/>
      </c>
      <c r="T12" s="44" t="str">
        <f>IF(AND('Mapa final'!$AA$49="Muy Alta",'Mapa final'!$AC$49="Menor"),CONCATENATE("R7C",'Mapa final'!$Q$49),"")</f>
        <v/>
      </c>
      <c r="U12" s="40" t="str">
        <f>IF(AND('Mapa final'!$AA$50="Muy Alta",'Mapa final'!$AC$50="Menor"),CONCATENATE("R7C",'Mapa final'!$Q$50),"")</f>
        <v/>
      </c>
      <c r="V12" s="38" t="str">
        <f>IF(AND('Mapa final'!$AA$45="Muy Alta",'Mapa final'!$AC$45="Moderado"),CONCATENATE("R7C",'Mapa final'!$Q$45),"")</f>
        <v/>
      </c>
      <c r="W12" s="39" t="str">
        <f>IF(AND('Mapa final'!$AA$46="Muy Alta",'Mapa final'!$AC$46="Moderado"),CONCATENATE("R7C",'Mapa final'!$Q$46),"")</f>
        <v/>
      </c>
      <c r="X12" s="44" t="str">
        <f>IF(AND('Mapa final'!$AA$47="Muy Alta",'Mapa final'!$AC$47="Moderado"),CONCATENATE("R7C",'Mapa final'!$Q$47),"")</f>
        <v/>
      </c>
      <c r="Y12" s="44" t="str">
        <f>IF(AND('Mapa final'!$AA$48="Muy Alta",'Mapa final'!$AC$48="Moderado"),CONCATENATE("R7C",'Mapa final'!$Q$48),"")</f>
        <v/>
      </c>
      <c r="Z12" s="44" t="str">
        <f>IF(AND('Mapa final'!$AA$49="Muy Alta",'Mapa final'!$AC$49="Moderado"),CONCATENATE("R7C",'Mapa final'!$Q$49),"")</f>
        <v/>
      </c>
      <c r="AA12" s="40" t="str">
        <f>IF(AND('Mapa final'!$AA$50="Muy Alta",'Mapa final'!$AC$50="Moderado"),CONCATENATE("R7C",'Mapa final'!$Q$50),"")</f>
        <v/>
      </c>
      <c r="AB12" s="38" t="str">
        <f>IF(AND('Mapa final'!$AA$45="Muy Alta",'Mapa final'!$AC$45="Mayor"),CONCATENATE("R7C",'Mapa final'!$Q$45),"")</f>
        <v/>
      </c>
      <c r="AC12" s="39" t="str">
        <f>IF(AND('Mapa final'!$AA$46="Muy Alta",'Mapa final'!$AC$46="Mayor"),CONCATENATE("R7C",'Mapa final'!$Q$46),"")</f>
        <v/>
      </c>
      <c r="AD12" s="44" t="str">
        <f>IF(AND('Mapa final'!$AA$47="Muy Alta",'Mapa final'!$AC$47="Mayor"),CONCATENATE("R7C",'Mapa final'!$Q$47),"")</f>
        <v/>
      </c>
      <c r="AE12" s="44" t="str">
        <f>IF(AND('Mapa final'!$AA$48="Muy Alta",'Mapa final'!$AC$48="Mayor"),CONCATENATE("R7C",'Mapa final'!$Q$48),"")</f>
        <v/>
      </c>
      <c r="AF12" s="44" t="str">
        <f>IF(AND('Mapa final'!$AA$49="Muy Alta",'Mapa final'!$AC$49="Mayor"),CONCATENATE("R7C",'Mapa final'!$Q$49),"")</f>
        <v/>
      </c>
      <c r="AG12" s="40" t="str">
        <f>IF(AND('Mapa final'!$AA$50="Muy Alta",'Mapa final'!$AC$50="Mayor"),CONCATENATE("R7C",'Mapa final'!$Q$50),"")</f>
        <v/>
      </c>
      <c r="AH12" s="41" t="str">
        <f>IF(AND('Mapa final'!$AA$45="Muy Alta",'Mapa final'!$AC$45="Catastrófico"),CONCATENATE("R7C",'Mapa final'!$Q$45),"")</f>
        <v/>
      </c>
      <c r="AI12" s="42" t="str">
        <f>IF(AND('Mapa final'!$AA$46="Muy Alta",'Mapa final'!$AC$46="Catastrófico"),CONCATENATE("R7C",'Mapa final'!$Q$46),"")</f>
        <v/>
      </c>
      <c r="AJ12" s="42" t="str">
        <f>IF(AND('Mapa final'!$AA$47="Muy Alta",'Mapa final'!$AC$47="Catastrófico"),CONCATENATE("R7C",'Mapa final'!$Q$47),"")</f>
        <v/>
      </c>
      <c r="AK12" s="42" t="str">
        <f>IF(AND('Mapa final'!$AA$48="Muy Alta",'Mapa final'!$AC$48="Catastrófico"),CONCATENATE("R7C",'Mapa final'!$Q$48),"")</f>
        <v/>
      </c>
      <c r="AL12" s="42" t="str">
        <f>IF(AND('Mapa final'!$AA$49="Muy Alta",'Mapa final'!$AC$49="Catastrófico"),CONCATENATE("R7C",'Mapa final'!$Q$49),"")</f>
        <v/>
      </c>
      <c r="AM12" s="43" t="str">
        <f>IF(AND('Mapa final'!$AA$50="Muy Alta",'Mapa final'!$AC$50="Catastrófico"),CONCATENATE("R7C",'Mapa final'!$Q$50),"")</f>
        <v/>
      </c>
      <c r="AN12" s="70"/>
      <c r="AO12" s="342"/>
      <c r="AP12" s="343"/>
      <c r="AQ12" s="343"/>
      <c r="AR12" s="343"/>
      <c r="AS12" s="343"/>
      <c r="AT12" s="344"/>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80"/>
      <c r="C13" s="280"/>
      <c r="D13" s="281"/>
      <c r="E13" s="321"/>
      <c r="F13" s="322"/>
      <c r="G13" s="322"/>
      <c r="H13" s="322"/>
      <c r="I13" s="323"/>
      <c r="J13" s="38" t="str">
        <f>IF(AND('Mapa final'!$AA$51="Muy Alta",'Mapa final'!$AC$51="Leve"),CONCATENATE("R8C",'Mapa final'!$Q$51),"")</f>
        <v/>
      </c>
      <c r="K13" s="39" t="str">
        <f>IF(AND('Mapa final'!$AA$52="Muy Alta",'Mapa final'!$AC$52="Leve"),CONCATENATE("R8C",'Mapa final'!$Q$52),"")</f>
        <v/>
      </c>
      <c r="L13" s="44" t="str">
        <f>IF(AND('Mapa final'!$AA$53="Muy Alta",'Mapa final'!$AC$53="Leve"),CONCATENATE("R8C",'Mapa final'!$Q$53),"")</f>
        <v/>
      </c>
      <c r="M13" s="44" t="str">
        <f>IF(AND('Mapa final'!$AA$54="Muy Alta",'Mapa final'!$AC$54="Leve"),CONCATENATE("R8C",'Mapa final'!$Q$54),"")</f>
        <v/>
      </c>
      <c r="N13" s="44" t="str">
        <f>IF(AND('Mapa final'!$AA$55="Muy Alta",'Mapa final'!$AC$55="Leve"),CONCATENATE("R8C",'Mapa final'!$Q$55),"")</f>
        <v/>
      </c>
      <c r="O13" s="40" t="str">
        <f>IF(AND('Mapa final'!$AA$56="Muy Alta",'Mapa final'!$AC$56="Leve"),CONCATENATE("R8C",'Mapa final'!$Q$56),"")</f>
        <v/>
      </c>
      <c r="P13" s="38" t="str">
        <f>IF(AND('Mapa final'!$AA$51="Muy Alta",'Mapa final'!$AC$51="Menor"),CONCATENATE("R8C",'Mapa final'!$Q$51),"")</f>
        <v/>
      </c>
      <c r="Q13" s="39" t="str">
        <f>IF(AND('Mapa final'!$AA$52="Muy Alta",'Mapa final'!$AC$52="Menor"),CONCATENATE("R8C",'Mapa final'!$Q$52),"")</f>
        <v/>
      </c>
      <c r="R13" s="44" t="str">
        <f>IF(AND('Mapa final'!$AA$53="Muy Alta",'Mapa final'!$AC$53="Menor"),CONCATENATE("R8C",'Mapa final'!$Q$53),"")</f>
        <v/>
      </c>
      <c r="S13" s="44" t="str">
        <f>IF(AND('Mapa final'!$AA$54="Muy Alta",'Mapa final'!$AC$54="Menor"),CONCATENATE("R8C",'Mapa final'!$Q$54),"")</f>
        <v/>
      </c>
      <c r="T13" s="44" t="str">
        <f>IF(AND('Mapa final'!$AA$55="Muy Alta",'Mapa final'!$AC$55="Menor"),CONCATENATE("R8C",'Mapa final'!$Q$55),"")</f>
        <v/>
      </c>
      <c r="U13" s="40" t="str">
        <f>IF(AND('Mapa final'!$AA$56="Muy Alta",'Mapa final'!$AC$56="Menor"),CONCATENATE("R8C",'Mapa final'!$Q$56),"")</f>
        <v/>
      </c>
      <c r="V13" s="38" t="str">
        <f>IF(AND('Mapa final'!$AA$51="Muy Alta",'Mapa final'!$AC$51="Moderado"),CONCATENATE("R8C",'Mapa final'!$Q$51),"")</f>
        <v/>
      </c>
      <c r="W13" s="39" t="str">
        <f>IF(AND('Mapa final'!$AA$52="Muy Alta",'Mapa final'!$AC$52="Moderado"),CONCATENATE("R8C",'Mapa final'!$Q$52),"")</f>
        <v/>
      </c>
      <c r="X13" s="44" t="str">
        <f>IF(AND('Mapa final'!$AA$53="Muy Alta",'Mapa final'!$AC$53="Moderado"),CONCATENATE("R8C",'Mapa final'!$Q$53),"")</f>
        <v/>
      </c>
      <c r="Y13" s="44" t="str">
        <f>IF(AND('Mapa final'!$AA$54="Muy Alta",'Mapa final'!$AC$54="Moderado"),CONCATENATE("R8C",'Mapa final'!$Q$54),"")</f>
        <v/>
      </c>
      <c r="Z13" s="44" t="str">
        <f>IF(AND('Mapa final'!$AA$55="Muy Alta",'Mapa final'!$AC$55="Moderado"),CONCATENATE("R8C",'Mapa final'!$Q$55),"")</f>
        <v/>
      </c>
      <c r="AA13" s="40" t="str">
        <f>IF(AND('Mapa final'!$AA$56="Muy Alta",'Mapa final'!$AC$56="Moderado"),CONCATENATE("R8C",'Mapa final'!$Q$56),"")</f>
        <v/>
      </c>
      <c r="AB13" s="38" t="str">
        <f>IF(AND('Mapa final'!$AA$51="Muy Alta",'Mapa final'!$AC$51="Mayor"),CONCATENATE("R8C",'Mapa final'!$Q$51),"")</f>
        <v/>
      </c>
      <c r="AC13" s="39" t="str">
        <f>IF(AND('Mapa final'!$AA$52="Muy Alta",'Mapa final'!$AC$52="Mayor"),CONCATENATE("R8C",'Mapa final'!$Q$52),"")</f>
        <v/>
      </c>
      <c r="AD13" s="44" t="str">
        <f>IF(AND('Mapa final'!$AA$53="Muy Alta",'Mapa final'!$AC$53="Mayor"),CONCATENATE("R8C",'Mapa final'!$Q$53),"")</f>
        <v/>
      </c>
      <c r="AE13" s="44" t="str">
        <f>IF(AND('Mapa final'!$AA$54="Muy Alta",'Mapa final'!$AC$54="Mayor"),CONCATENATE("R8C",'Mapa final'!$Q$54),"")</f>
        <v/>
      </c>
      <c r="AF13" s="44" t="str">
        <f>IF(AND('Mapa final'!$AA$55="Muy Alta",'Mapa final'!$AC$55="Mayor"),CONCATENATE("R8C",'Mapa final'!$Q$55),"")</f>
        <v/>
      </c>
      <c r="AG13" s="40" t="str">
        <f>IF(AND('Mapa final'!$AA$56="Muy Alta",'Mapa final'!$AC$56="Mayor"),CONCATENATE("R8C",'Mapa final'!$Q$56),"")</f>
        <v/>
      </c>
      <c r="AH13" s="41" t="str">
        <f>IF(AND('Mapa final'!$AA$51="Muy Alta",'Mapa final'!$AC$51="Catastrófico"),CONCATENATE("R8C",'Mapa final'!$Q$51),"")</f>
        <v/>
      </c>
      <c r="AI13" s="42" t="str">
        <f>IF(AND('Mapa final'!$AA$52="Muy Alta",'Mapa final'!$AC$52="Catastrófico"),CONCATENATE("R8C",'Mapa final'!$Q$52),"")</f>
        <v/>
      </c>
      <c r="AJ13" s="42" t="str">
        <f>IF(AND('Mapa final'!$AA$53="Muy Alta",'Mapa final'!$AC$53="Catastrófico"),CONCATENATE("R8C",'Mapa final'!$Q$53),"")</f>
        <v/>
      </c>
      <c r="AK13" s="42" t="str">
        <f>IF(AND('Mapa final'!$AA$54="Muy Alta",'Mapa final'!$AC$54="Catastrófico"),CONCATENATE("R8C",'Mapa final'!$Q$54),"")</f>
        <v/>
      </c>
      <c r="AL13" s="42" t="str">
        <f>IF(AND('Mapa final'!$AA$55="Muy Alta",'Mapa final'!$AC$55="Catastrófico"),CONCATENATE("R8C",'Mapa final'!$Q$55),"")</f>
        <v/>
      </c>
      <c r="AM13" s="43" t="str">
        <f>IF(AND('Mapa final'!$AA$56="Muy Alta",'Mapa final'!$AC$56="Catastrófico"),CONCATENATE("R8C",'Mapa final'!$Q$56),"")</f>
        <v/>
      </c>
      <c r="AN13" s="70"/>
      <c r="AO13" s="342"/>
      <c r="AP13" s="343"/>
      <c r="AQ13" s="343"/>
      <c r="AR13" s="343"/>
      <c r="AS13" s="343"/>
      <c r="AT13" s="344"/>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80"/>
      <c r="C14" s="280"/>
      <c r="D14" s="281"/>
      <c r="E14" s="321"/>
      <c r="F14" s="322"/>
      <c r="G14" s="322"/>
      <c r="H14" s="322"/>
      <c r="I14" s="323"/>
      <c r="J14" s="38" t="str">
        <f>IF(AND('Mapa final'!$AA$57="Muy Alta",'Mapa final'!$AC$57="Leve"),CONCATENATE("R9C",'Mapa final'!$Q$57),"")</f>
        <v/>
      </c>
      <c r="K14" s="39" t="str">
        <f>IF(AND('Mapa final'!$AA$58="Muy Alta",'Mapa final'!$AC$58="Leve"),CONCATENATE("R9C",'Mapa final'!$Q$58),"")</f>
        <v/>
      </c>
      <c r="L14" s="44" t="str">
        <f>IF(AND('Mapa final'!$AA$59="Muy Alta",'Mapa final'!$AC$59="Leve"),CONCATENATE("R9C",'Mapa final'!$Q$59),"")</f>
        <v/>
      </c>
      <c r="M14" s="44" t="str">
        <f>IF(AND('Mapa final'!$AA$60="Muy Alta",'Mapa final'!$AC$60="Leve"),CONCATENATE("R9C",'Mapa final'!$Q$60),"")</f>
        <v/>
      </c>
      <c r="N14" s="44" t="str">
        <f>IF(AND('Mapa final'!$AA$61="Muy Alta",'Mapa final'!$AC$61="Leve"),CONCATENATE("R9C",'Mapa final'!$Q$61),"")</f>
        <v/>
      </c>
      <c r="O14" s="40" t="str">
        <f>IF(AND('Mapa final'!$AA$62="Muy Alta",'Mapa final'!$AC$62="Leve"),CONCATENATE("R9C",'Mapa final'!$Q$62),"")</f>
        <v/>
      </c>
      <c r="P14" s="38" t="str">
        <f>IF(AND('Mapa final'!$AA$57="Muy Alta",'Mapa final'!$AC$57="Menor"),CONCATENATE("R9C",'Mapa final'!$Q$57),"")</f>
        <v/>
      </c>
      <c r="Q14" s="39" t="str">
        <f>IF(AND('Mapa final'!$AA$58="Muy Alta",'Mapa final'!$AC$58="Menor"),CONCATENATE("R9C",'Mapa final'!$Q$58),"")</f>
        <v/>
      </c>
      <c r="R14" s="44" t="str">
        <f>IF(AND('Mapa final'!$AA$59="Muy Alta",'Mapa final'!$AC$59="Menor"),CONCATENATE("R9C",'Mapa final'!$Q$59),"")</f>
        <v/>
      </c>
      <c r="S14" s="44" t="str">
        <f>IF(AND('Mapa final'!$AA$60="Muy Alta",'Mapa final'!$AC$60="Menor"),CONCATENATE("R9C",'Mapa final'!$Q$60),"")</f>
        <v/>
      </c>
      <c r="T14" s="44" t="str">
        <f>IF(AND('Mapa final'!$AA$61="Muy Alta",'Mapa final'!$AC$61="Menor"),CONCATENATE("R9C",'Mapa final'!$Q$61),"")</f>
        <v/>
      </c>
      <c r="U14" s="40" t="str">
        <f>IF(AND('Mapa final'!$AA$62="Muy Alta",'Mapa final'!$AC$62="Menor"),CONCATENATE("R9C",'Mapa final'!$Q$62),"")</f>
        <v/>
      </c>
      <c r="V14" s="38" t="str">
        <f>IF(AND('Mapa final'!$AA$57="Muy Alta",'Mapa final'!$AC$57="Moderado"),CONCATENATE("R9C",'Mapa final'!$Q$57),"")</f>
        <v/>
      </c>
      <c r="W14" s="39" t="str">
        <f>IF(AND('Mapa final'!$AA$58="Muy Alta",'Mapa final'!$AC$58="Moderado"),CONCATENATE("R9C",'Mapa final'!$Q$58),"")</f>
        <v/>
      </c>
      <c r="X14" s="44" t="str">
        <f>IF(AND('Mapa final'!$AA$59="Muy Alta",'Mapa final'!$AC$59="Moderado"),CONCATENATE("R9C",'Mapa final'!$Q$59),"")</f>
        <v/>
      </c>
      <c r="Y14" s="44" t="str">
        <f>IF(AND('Mapa final'!$AA$60="Muy Alta",'Mapa final'!$AC$60="Moderado"),CONCATENATE("R9C",'Mapa final'!$Q$60),"")</f>
        <v/>
      </c>
      <c r="Z14" s="44" t="str">
        <f>IF(AND('Mapa final'!$AA$61="Muy Alta",'Mapa final'!$AC$61="Moderado"),CONCATENATE("R9C",'Mapa final'!$Q$61),"")</f>
        <v/>
      </c>
      <c r="AA14" s="40" t="str">
        <f>IF(AND('Mapa final'!$AA$62="Muy Alta",'Mapa final'!$AC$62="Moderado"),CONCATENATE("R9C",'Mapa final'!$Q$62),"")</f>
        <v/>
      </c>
      <c r="AB14" s="38" t="str">
        <f>IF(AND('Mapa final'!$AA$57="Muy Alta",'Mapa final'!$AC$57="Mayor"),CONCATENATE("R9C",'Mapa final'!$Q$57),"")</f>
        <v/>
      </c>
      <c r="AC14" s="39" t="str">
        <f>IF(AND('Mapa final'!$AA$58="Muy Alta",'Mapa final'!$AC$58="Mayor"),CONCATENATE("R9C",'Mapa final'!$Q$58),"")</f>
        <v/>
      </c>
      <c r="AD14" s="44" t="str">
        <f>IF(AND('Mapa final'!$AA$59="Muy Alta",'Mapa final'!$AC$59="Mayor"),CONCATENATE("R9C",'Mapa final'!$Q$59),"")</f>
        <v/>
      </c>
      <c r="AE14" s="44" t="str">
        <f>IF(AND('Mapa final'!$AA$60="Muy Alta",'Mapa final'!$AC$60="Mayor"),CONCATENATE("R9C",'Mapa final'!$Q$60),"")</f>
        <v/>
      </c>
      <c r="AF14" s="44" t="str">
        <f>IF(AND('Mapa final'!$AA$61="Muy Alta",'Mapa final'!$AC$61="Mayor"),CONCATENATE("R9C",'Mapa final'!$Q$61),"")</f>
        <v/>
      </c>
      <c r="AG14" s="40" t="str">
        <f>IF(AND('Mapa final'!$AA$62="Muy Alta",'Mapa final'!$AC$62="Mayor"),CONCATENATE("R9C",'Mapa final'!$Q$62),"")</f>
        <v/>
      </c>
      <c r="AH14" s="41" t="str">
        <f>IF(AND('Mapa final'!$AA$57="Muy Alta",'Mapa final'!$AC$57="Catastrófico"),CONCATENATE("R9C",'Mapa final'!$Q$57),"")</f>
        <v/>
      </c>
      <c r="AI14" s="42" t="str">
        <f>IF(AND('Mapa final'!$AA$58="Muy Alta",'Mapa final'!$AC$58="Catastrófico"),CONCATENATE("R9C",'Mapa final'!$Q$58),"")</f>
        <v/>
      </c>
      <c r="AJ14" s="42" t="str">
        <f>IF(AND('Mapa final'!$AA$59="Muy Alta",'Mapa final'!$AC$59="Catastrófico"),CONCATENATE("R9C",'Mapa final'!$Q$59),"")</f>
        <v/>
      </c>
      <c r="AK14" s="42" t="str">
        <f>IF(AND('Mapa final'!$AA$60="Muy Alta",'Mapa final'!$AC$60="Catastrófico"),CONCATENATE("R9C",'Mapa final'!$Q$60),"")</f>
        <v/>
      </c>
      <c r="AL14" s="42" t="str">
        <f>IF(AND('Mapa final'!$AA$61="Muy Alta",'Mapa final'!$AC$61="Catastrófico"),CONCATENATE("R9C",'Mapa final'!$Q$61),"")</f>
        <v/>
      </c>
      <c r="AM14" s="43" t="str">
        <f>IF(AND('Mapa final'!$AA$62="Muy Alta",'Mapa final'!$AC$62="Catastrófico"),CONCATENATE("R9C",'Mapa final'!$Q$62),"")</f>
        <v/>
      </c>
      <c r="AN14" s="70"/>
      <c r="AO14" s="342"/>
      <c r="AP14" s="343"/>
      <c r="AQ14" s="343"/>
      <c r="AR14" s="343"/>
      <c r="AS14" s="343"/>
      <c r="AT14" s="344"/>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80"/>
      <c r="C15" s="280"/>
      <c r="D15" s="281"/>
      <c r="E15" s="324"/>
      <c r="F15" s="325"/>
      <c r="G15" s="325"/>
      <c r="H15" s="325"/>
      <c r="I15" s="326"/>
      <c r="J15" s="45" t="str">
        <f>IF(AND('Mapa final'!$AA$63="Muy Alta",'Mapa final'!$AC$63="Leve"),CONCATENATE("R10C",'Mapa final'!$Q$63),"")</f>
        <v/>
      </c>
      <c r="K15" s="46" t="str">
        <f>IF(AND('Mapa final'!$AA$64="Muy Alta",'Mapa final'!$AC$64="Leve"),CONCATENATE("R10C",'Mapa final'!$Q$64),"")</f>
        <v/>
      </c>
      <c r="L15" s="46" t="str">
        <f>IF(AND('Mapa final'!$AA$65="Muy Alta",'Mapa final'!$AC$65="Leve"),CONCATENATE("R10C",'Mapa final'!$Q$65),"")</f>
        <v/>
      </c>
      <c r="M15" s="46" t="str">
        <f>IF(AND('Mapa final'!$AA$66="Muy Alta",'Mapa final'!$AC$66="Leve"),CONCATENATE("R10C",'Mapa final'!$Q$66),"")</f>
        <v/>
      </c>
      <c r="N15" s="46" t="str">
        <f>IF(AND('Mapa final'!$AA$67="Muy Alta",'Mapa final'!$AC$67="Leve"),CONCATENATE("R10C",'Mapa final'!$Q$67),"")</f>
        <v/>
      </c>
      <c r="O15" s="47" t="str">
        <f>IF(AND('Mapa final'!$AA$68="Muy Alta",'Mapa final'!$AC$68="Leve"),CONCATENATE("R10C",'Mapa final'!$Q$68),"")</f>
        <v/>
      </c>
      <c r="P15" s="38" t="str">
        <f>IF(AND('Mapa final'!$AA$63="Muy Alta",'Mapa final'!$AC$63="Menor"),CONCATENATE("R10C",'Mapa final'!$Q$63),"")</f>
        <v/>
      </c>
      <c r="Q15" s="39" t="str">
        <f>IF(AND('Mapa final'!$AA$64="Muy Alta",'Mapa final'!$AC$64="Menor"),CONCATENATE("R10C",'Mapa final'!$Q$64),"")</f>
        <v/>
      </c>
      <c r="R15" s="39" t="str">
        <f>IF(AND('Mapa final'!$AA$65="Muy Alta",'Mapa final'!$AC$65="Menor"),CONCATENATE("R10C",'Mapa final'!$Q$65),"")</f>
        <v/>
      </c>
      <c r="S15" s="39" t="str">
        <f>IF(AND('Mapa final'!$AA$66="Muy Alta",'Mapa final'!$AC$66="Menor"),CONCATENATE("R10C",'Mapa final'!$Q$66),"")</f>
        <v/>
      </c>
      <c r="T15" s="39" t="str">
        <f>IF(AND('Mapa final'!$AA$67="Muy Alta",'Mapa final'!$AC$67="Menor"),CONCATENATE("R10C",'Mapa final'!$Q$67),"")</f>
        <v/>
      </c>
      <c r="U15" s="40" t="str">
        <f>IF(AND('Mapa final'!$AA$68="Muy Alta",'Mapa final'!$AC$68="Menor"),CONCATENATE("R10C",'Mapa final'!$Q$68),"")</f>
        <v/>
      </c>
      <c r="V15" s="45" t="str">
        <f>IF(AND('Mapa final'!$AA$63="Muy Alta",'Mapa final'!$AC$63="Moderado"),CONCATENATE("R10C",'Mapa final'!$Q$63),"")</f>
        <v/>
      </c>
      <c r="W15" s="46" t="str">
        <f>IF(AND('Mapa final'!$AA$64="Muy Alta",'Mapa final'!$AC$64="Moderado"),CONCATENATE("R10C",'Mapa final'!$Q$64),"")</f>
        <v/>
      </c>
      <c r="X15" s="46" t="str">
        <f>IF(AND('Mapa final'!$AA$65="Muy Alta",'Mapa final'!$AC$65="Moderado"),CONCATENATE("R10C",'Mapa final'!$Q$65),"")</f>
        <v/>
      </c>
      <c r="Y15" s="46" t="str">
        <f>IF(AND('Mapa final'!$AA$66="Muy Alta",'Mapa final'!$AC$66="Moderado"),CONCATENATE("R10C",'Mapa final'!$Q$66),"")</f>
        <v/>
      </c>
      <c r="Z15" s="46" t="str">
        <f>IF(AND('Mapa final'!$AA$67="Muy Alta",'Mapa final'!$AC$67="Moderado"),CONCATENATE("R10C",'Mapa final'!$Q$67),"")</f>
        <v/>
      </c>
      <c r="AA15" s="47" t="str">
        <f>IF(AND('Mapa final'!$AA$68="Muy Alta",'Mapa final'!$AC$68="Moderado"),CONCATENATE("R10C",'Mapa final'!$Q$68),"")</f>
        <v/>
      </c>
      <c r="AB15" s="38" t="str">
        <f>IF(AND('Mapa final'!$AA$63="Muy Alta",'Mapa final'!$AC$63="Mayor"),CONCATENATE("R10C",'Mapa final'!$Q$63),"")</f>
        <v/>
      </c>
      <c r="AC15" s="39" t="str">
        <f>IF(AND('Mapa final'!$AA$64="Muy Alta",'Mapa final'!$AC$64="Mayor"),CONCATENATE("R10C",'Mapa final'!$Q$64),"")</f>
        <v/>
      </c>
      <c r="AD15" s="39" t="str">
        <f>IF(AND('Mapa final'!$AA$65="Muy Alta",'Mapa final'!$AC$65="Mayor"),CONCATENATE("R10C",'Mapa final'!$Q$65),"")</f>
        <v/>
      </c>
      <c r="AE15" s="39" t="str">
        <f>IF(AND('Mapa final'!$AA$66="Muy Alta",'Mapa final'!$AC$66="Mayor"),CONCATENATE("R10C",'Mapa final'!$Q$66),"")</f>
        <v/>
      </c>
      <c r="AF15" s="39" t="str">
        <f>IF(AND('Mapa final'!$AA$67="Muy Alta",'Mapa final'!$AC$67="Mayor"),CONCATENATE("R10C",'Mapa final'!$Q$67),"")</f>
        <v/>
      </c>
      <c r="AG15" s="40" t="str">
        <f>IF(AND('Mapa final'!$AA$68="Muy Alta",'Mapa final'!$AC$68="Mayor"),CONCATENATE("R10C",'Mapa final'!$Q$68),"")</f>
        <v/>
      </c>
      <c r="AH15" s="48" t="str">
        <f>IF(AND('Mapa final'!$AA$63="Muy Alta",'Mapa final'!$AC$63="Catastrófico"),CONCATENATE("R10C",'Mapa final'!$Q$63),"")</f>
        <v/>
      </c>
      <c r="AI15" s="49" t="str">
        <f>IF(AND('Mapa final'!$AA$64="Muy Alta",'Mapa final'!$AC$64="Catastrófico"),CONCATENATE("R10C",'Mapa final'!$Q$64),"")</f>
        <v/>
      </c>
      <c r="AJ15" s="49" t="str">
        <f>IF(AND('Mapa final'!$AA$65="Muy Alta",'Mapa final'!$AC$65="Catastrófico"),CONCATENATE("R10C",'Mapa final'!$Q$65),"")</f>
        <v/>
      </c>
      <c r="AK15" s="49" t="str">
        <f>IF(AND('Mapa final'!$AA$66="Muy Alta",'Mapa final'!$AC$66="Catastrófico"),CONCATENATE("R10C",'Mapa final'!$Q$66),"")</f>
        <v/>
      </c>
      <c r="AL15" s="49" t="str">
        <f>IF(AND('Mapa final'!$AA$67="Muy Alta",'Mapa final'!$AC$67="Catastrófico"),CONCATENATE("R10C",'Mapa final'!$Q$67),"")</f>
        <v/>
      </c>
      <c r="AM15" s="50" t="str">
        <f>IF(AND('Mapa final'!$AA$68="Muy Alta",'Mapa final'!$AC$68="Catastrófico"),CONCATENATE("R10C",'Mapa final'!$Q$68),"")</f>
        <v/>
      </c>
      <c r="AN15" s="70"/>
      <c r="AO15" s="345"/>
      <c r="AP15" s="346"/>
      <c r="AQ15" s="346"/>
      <c r="AR15" s="346"/>
      <c r="AS15" s="346"/>
      <c r="AT15" s="347"/>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80"/>
      <c r="C16" s="280"/>
      <c r="D16" s="281"/>
      <c r="E16" s="318" t="s">
        <v>111</v>
      </c>
      <c r="F16" s="319"/>
      <c r="G16" s="319"/>
      <c r="H16" s="319"/>
      <c r="I16" s="319"/>
      <c r="J16" s="51" t="str">
        <f>IF(AND('Mapa final'!$AA$9="Alta",'Mapa final'!$AC$9="Leve"),CONCATENATE("R1C",'Mapa final'!$Q$9),"")</f>
        <v/>
      </c>
      <c r="K16" s="52" t="str">
        <f>IF(AND('Mapa final'!$AA$10="Alta",'Mapa final'!$AC$10="Leve"),CONCATENATE("R1C",'Mapa final'!$Q$10),"")</f>
        <v/>
      </c>
      <c r="L16" s="52" t="str">
        <f>IF(AND('Mapa final'!$AA$11="Alta",'Mapa final'!$AC$11="Leve"),CONCATENATE("R1C",'Mapa final'!$Q$11),"")</f>
        <v/>
      </c>
      <c r="M16" s="52" t="str">
        <f>IF(AND('Mapa final'!$AA$12="Alta",'Mapa final'!$AC$12="Leve"),CONCATENATE("R1C",'Mapa final'!$Q$12),"")</f>
        <v/>
      </c>
      <c r="N16" s="52" t="str">
        <f>IF(AND('Mapa final'!$AA$13="Alta",'Mapa final'!$AC$13="Leve"),CONCATENATE("R1C",'Mapa final'!$Q$13),"")</f>
        <v/>
      </c>
      <c r="O16" s="53" t="str">
        <f>IF(AND('Mapa final'!$AA$14="Alta",'Mapa final'!$AC$14="Leve"),CONCATENATE("R1C",'Mapa final'!$Q$14),"")</f>
        <v/>
      </c>
      <c r="P16" s="51" t="str">
        <f>IF(AND('Mapa final'!$AA$9="Alta",'Mapa final'!$AC$9="Menor"),CONCATENATE("R1C",'Mapa final'!$Q$9),"")</f>
        <v/>
      </c>
      <c r="Q16" s="52" t="str">
        <f>IF(AND('Mapa final'!$AA$10="Alta",'Mapa final'!$AC$10="Menor"),CONCATENATE("R1C",'Mapa final'!$Q$10),"")</f>
        <v/>
      </c>
      <c r="R16" s="52" t="str">
        <f>IF(AND('Mapa final'!$AA$11="Alta",'Mapa final'!$AC$11="Menor"),CONCATENATE("R1C",'Mapa final'!$Q$11),"")</f>
        <v/>
      </c>
      <c r="S16" s="52" t="str">
        <f>IF(AND('Mapa final'!$AA$12="Alta",'Mapa final'!$AC$12="Menor"),CONCATENATE("R1C",'Mapa final'!$Q$12),"")</f>
        <v/>
      </c>
      <c r="T16" s="52" t="str">
        <f>IF(AND('Mapa final'!$AA$13="Alta",'Mapa final'!$AC$13="Menor"),CONCATENATE("R1C",'Mapa final'!$Q$13),"")</f>
        <v/>
      </c>
      <c r="U16" s="53" t="str">
        <f>IF(AND('Mapa final'!$AA$14="Alta",'Mapa final'!$AC$14="Menor"),CONCATENATE("R1C",'Mapa final'!$Q$14),"")</f>
        <v/>
      </c>
      <c r="V16" s="32" t="str">
        <f>IF(AND('Mapa final'!$AA$9="Alta",'Mapa final'!$AC$9="Moderado"),CONCATENATE("R1C",'Mapa final'!$Q$9),"")</f>
        <v/>
      </c>
      <c r="W16" s="33" t="str">
        <f>IF(AND('Mapa final'!$AA$10="Alta",'Mapa final'!$AC$10="Moderado"),CONCATENATE("R1C",'Mapa final'!$Q$10),"")</f>
        <v/>
      </c>
      <c r="X16" s="33" t="str">
        <f>IF(AND('Mapa final'!$AA$11="Alta",'Mapa final'!$AC$11="Moderado"),CONCATENATE("R1C",'Mapa final'!$Q$11),"")</f>
        <v/>
      </c>
      <c r="Y16" s="33" t="str">
        <f>IF(AND('Mapa final'!$AA$12="Alta",'Mapa final'!$AC$12="Moderado"),CONCATENATE("R1C",'Mapa final'!$Q$12),"")</f>
        <v/>
      </c>
      <c r="Z16" s="33" t="str">
        <f>IF(AND('Mapa final'!$AA$13="Alta",'Mapa final'!$AC$13="Moderado"),CONCATENATE("R1C",'Mapa final'!$Q$13),"")</f>
        <v/>
      </c>
      <c r="AA16" s="34" t="str">
        <f>IF(AND('Mapa final'!$AA$14="Alta",'Mapa final'!$AC$14="Moderado"),CONCATENATE("R1C",'Mapa final'!$Q$14),"")</f>
        <v/>
      </c>
      <c r="AB16" s="32" t="str">
        <f>IF(AND('Mapa final'!$AA$9="Alta",'Mapa final'!$AC$9="Mayor"),CONCATENATE("R1C",'Mapa final'!$Q$9),"")</f>
        <v/>
      </c>
      <c r="AC16" s="33" t="str">
        <f>IF(AND('Mapa final'!$AA$10="Alta",'Mapa final'!$AC$10="Mayor"),CONCATENATE("R1C",'Mapa final'!$Q$10),"")</f>
        <v/>
      </c>
      <c r="AD16" s="33" t="str">
        <f>IF(AND('Mapa final'!$AA$11="Alta",'Mapa final'!$AC$11="Mayor"),CONCATENATE("R1C",'Mapa final'!$Q$11),"")</f>
        <v/>
      </c>
      <c r="AE16" s="33" t="str">
        <f>IF(AND('Mapa final'!$AA$12="Alta",'Mapa final'!$AC$12="Mayor"),CONCATENATE("R1C",'Mapa final'!$Q$12),"")</f>
        <v/>
      </c>
      <c r="AF16" s="33" t="str">
        <f>IF(AND('Mapa final'!$AA$13="Alta",'Mapa final'!$AC$13="Mayor"),CONCATENATE("R1C",'Mapa final'!$Q$13),"")</f>
        <v/>
      </c>
      <c r="AG16" s="34" t="str">
        <f>IF(AND('Mapa final'!$AA$14="Alta",'Mapa final'!$AC$14="Mayor"),CONCATENATE("R1C",'Mapa final'!$Q$14),"")</f>
        <v/>
      </c>
      <c r="AH16" s="35" t="str">
        <f>IF(AND('Mapa final'!$AA$9="Alta",'Mapa final'!$AC$9="Catastrófico"),CONCATENATE("R1C",'Mapa final'!$Q$9),"")</f>
        <v/>
      </c>
      <c r="AI16" s="36" t="str">
        <f>IF(AND('Mapa final'!$AA$10="Alta",'Mapa final'!$AC$10="Catastrófico"),CONCATENATE("R1C",'Mapa final'!$Q$10),"")</f>
        <v/>
      </c>
      <c r="AJ16" s="36" t="str">
        <f>IF(AND('Mapa final'!$AA$11="Alta",'Mapa final'!$AC$11="Catastrófico"),CONCATENATE("R1C",'Mapa final'!$Q$11),"")</f>
        <v/>
      </c>
      <c r="AK16" s="36" t="str">
        <f>IF(AND('Mapa final'!$AA$12="Alta",'Mapa final'!$AC$12="Catastrófico"),CONCATENATE("R1C",'Mapa final'!$Q$12),"")</f>
        <v/>
      </c>
      <c r="AL16" s="36" t="str">
        <f>IF(AND('Mapa final'!$AA$13="Alta",'Mapa final'!$AC$13="Catastrófico"),CONCATENATE("R1C",'Mapa final'!$Q$13),"")</f>
        <v/>
      </c>
      <c r="AM16" s="37" t="str">
        <f>IF(AND('Mapa final'!$AA$14="Alta",'Mapa final'!$AC$14="Catastrófico"),CONCATENATE("R1C",'Mapa final'!$Q$14),"")</f>
        <v/>
      </c>
      <c r="AN16" s="70"/>
      <c r="AO16" s="328" t="s">
        <v>76</v>
      </c>
      <c r="AP16" s="329"/>
      <c r="AQ16" s="329"/>
      <c r="AR16" s="329"/>
      <c r="AS16" s="329"/>
      <c r="AT16" s="33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80"/>
      <c r="C17" s="280"/>
      <c r="D17" s="281"/>
      <c r="E17" s="337"/>
      <c r="F17" s="338"/>
      <c r="G17" s="338"/>
      <c r="H17" s="338"/>
      <c r="I17" s="338"/>
      <c r="J17" s="54" t="str">
        <f ca="1">IF(AND('Mapa final'!$AA$15="Alta",'Mapa final'!$AC$15="Leve"),CONCATENATE("R2C",'Mapa final'!$Q$15),"")</f>
        <v/>
      </c>
      <c r="K17" s="55" t="str">
        <f>IF(AND('Mapa final'!$AA$16="Alta",'Mapa final'!$AC$16="Leve"),CONCATENATE("R2C",'Mapa final'!$Q$16),"")</f>
        <v/>
      </c>
      <c r="L17" s="55" t="str">
        <f>IF(AND('Mapa final'!$AA$17="Alta",'Mapa final'!$AC$17="Leve"),CONCATENATE("R2C",'Mapa final'!$Q$17),"")</f>
        <v/>
      </c>
      <c r="M17" s="55" t="str">
        <f>IF(AND('Mapa final'!$AA$18="Alta",'Mapa final'!$AC$18="Leve"),CONCATENATE("R2C",'Mapa final'!$Q$18),"")</f>
        <v/>
      </c>
      <c r="N17" s="55" t="str">
        <f>IF(AND('Mapa final'!$AA$19="Alta",'Mapa final'!$AC$19="Leve"),CONCATENATE("R2C",'Mapa final'!$Q$19),"")</f>
        <v/>
      </c>
      <c r="O17" s="56" t="str">
        <f>IF(AND('Mapa final'!$AA$20="Alta",'Mapa final'!$AC$20="Leve"),CONCATENATE("R2C",'Mapa final'!$Q$20),"")</f>
        <v/>
      </c>
      <c r="P17" s="54" t="str">
        <f ca="1">IF(AND('Mapa final'!$AA$15="Alta",'Mapa final'!$AC$15="Menor"),CONCATENATE("R2C",'Mapa final'!$Q$15),"")</f>
        <v/>
      </c>
      <c r="Q17" s="55" t="str">
        <f>IF(AND('Mapa final'!$AA$16="Alta",'Mapa final'!$AC$16="Menor"),CONCATENATE("R2C",'Mapa final'!$Q$16),"")</f>
        <v/>
      </c>
      <c r="R17" s="55" t="str">
        <f>IF(AND('Mapa final'!$AA$17="Alta",'Mapa final'!$AC$17="Menor"),CONCATENATE("R2C",'Mapa final'!$Q$17),"")</f>
        <v/>
      </c>
      <c r="S17" s="55" t="str">
        <f>IF(AND('Mapa final'!$AA$18="Alta",'Mapa final'!$AC$18="Menor"),CONCATENATE("R2C",'Mapa final'!$Q$18),"")</f>
        <v/>
      </c>
      <c r="T17" s="55" t="str">
        <f>IF(AND('Mapa final'!$AA$19="Alta",'Mapa final'!$AC$19="Menor"),CONCATENATE("R2C",'Mapa final'!$Q$19),"")</f>
        <v/>
      </c>
      <c r="U17" s="56" t="str">
        <f>IF(AND('Mapa final'!$AA$20="Alta",'Mapa final'!$AC$20="Menor"),CONCATENATE("R2C",'Mapa final'!$Q$20),"")</f>
        <v/>
      </c>
      <c r="V17" s="38" t="str">
        <f ca="1">IF(AND('Mapa final'!$AA$15="Alta",'Mapa final'!$AC$15="Moderado"),CONCATENATE("R2C",'Mapa final'!$Q$15),"")</f>
        <v/>
      </c>
      <c r="W17" s="39" t="str">
        <f>IF(AND('Mapa final'!$AA$16="Alta",'Mapa final'!$AC$16="Moderado"),CONCATENATE("R2C",'Mapa final'!$Q$16),"")</f>
        <v/>
      </c>
      <c r="X17" s="39" t="str">
        <f>IF(AND('Mapa final'!$AA$17="Alta",'Mapa final'!$AC$17="Moderado"),CONCATENATE("R2C",'Mapa final'!$Q$17),"")</f>
        <v/>
      </c>
      <c r="Y17" s="39" t="str">
        <f>IF(AND('Mapa final'!$AA$18="Alta",'Mapa final'!$AC$18="Moderado"),CONCATENATE("R2C",'Mapa final'!$Q$18),"")</f>
        <v/>
      </c>
      <c r="Z17" s="39" t="str">
        <f>IF(AND('Mapa final'!$AA$19="Alta",'Mapa final'!$AC$19="Moderado"),CONCATENATE("R2C",'Mapa final'!$Q$19),"")</f>
        <v/>
      </c>
      <c r="AA17" s="40" t="str">
        <f>IF(AND('Mapa final'!$AA$20="Alta",'Mapa final'!$AC$20="Moderado"),CONCATENATE("R2C",'Mapa final'!$Q$20),"")</f>
        <v/>
      </c>
      <c r="AB17" s="38" t="str">
        <f ca="1">IF(AND('Mapa final'!$AA$15="Alta",'Mapa final'!$AC$15="Mayor"),CONCATENATE("R2C",'Mapa final'!$Q$15),"")</f>
        <v/>
      </c>
      <c r="AC17" s="39" t="str">
        <f>IF(AND('Mapa final'!$AA$16="Alta",'Mapa final'!$AC$16="Mayor"),CONCATENATE("R2C",'Mapa final'!$Q$16),"")</f>
        <v/>
      </c>
      <c r="AD17" s="39" t="str">
        <f>IF(AND('Mapa final'!$AA$17="Alta",'Mapa final'!$AC$17="Mayor"),CONCATENATE("R2C",'Mapa final'!$Q$17),"")</f>
        <v/>
      </c>
      <c r="AE17" s="39" t="str">
        <f>IF(AND('Mapa final'!$AA$18="Alta",'Mapa final'!$AC$18="Mayor"),CONCATENATE("R2C",'Mapa final'!$Q$18),"")</f>
        <v/>
      </c>
      <c r="AF17" s="39" t="str">
        <f>IF(AND('Mapa final'!$AA$19="Alta",'Mapa final'!$AC$19="Mayor"),CONCATENATE("R2C",'Mapa final'!$Q$19),"")</f>
        <v/>
      </c>
      <c r="AG17" s="40" t="str">
        <f>IF(AND('Mapa final'!$AA$20="Alta",'Mapa final'!$AC$20="Mayor"),CONCATENATE("R2C",'Mapa final'!$Q$20),"")</f>
        <v/>
      </c>
      <c r="AH17" s="41" t="str">
        <f ca="1">IF(AND('Mapa final'!$AA$15="Alta",'Mapa final'!$AC$15="Catastrófico"),CONCATENATE("R2C",'Mapa final'!$Q$15),"")</f>
        <v/>
      </c>
      <c r="AI17" s="42" t="str">
        <f>IF(AND('Mapa final'!$AA$16="Alta",'Mapa final'!$AC$16="Catastrófico"),CONCATENATE("R2C",'Mapa final'!$Q$16),"")</f>
        <v/>
      </c>
      <c r="AJ17" s="42" t="str">
        <f>IF(AND('Mapa final'!$AA$17="Alta",'Mapa final'!$AC$17="Catastrófico"),CONCATENATE("R2C",'Mapa final'!$Q$17),"")</f>
        <v/>
      </c>
      <c r="AK17" s="42" t="str">
        <f>IF(AND('Mapa final'!$AA$18="Alta",'Mapa final'!$AC$18="Catastrófico"),CONCATENATE("R2C",'Mapa final'!$Q$18),"")</f>
        <v/>
      </c>
      <c r="AL17" s="42" t="str">
        <f>IF(AND('Mapa final'!$AA$19="Alta",'Mapa final'!$AC$19="Catastrófico"),CONCATENATE("R2C",'Mapa final'!$Q$19),"")</f>
        <v/>
      </c>
      <c r="AM17" s="43" t="str">
        <f>IF(AND('Mapa final'!$AA$20="Alta",'Mapa final'!$AC$20="Catastrófico"),CONCATENATE("R2C",'Mapa final'!$Q$20),"")</f>
        <v/>
      </c>
      <c r="AN17" s="70"/>
      <c r="AO17" s="331"/>
      <c r="AP17" s="332"/>
      <c r="AQ17" s="332"/>
      <c r="AR17" s="332"/>
      <c r="AS17" s="332"/>
      <c r="AT17" s="333"/>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80"/>
      <c r="C18" s="280"/>
      <c r="D18" s="281"/>
      <c r="E18" s="321"/>
      <c r="F18" s="322"/>
      <c r="G18" s="322"/>
      <c r="H18" s="322"/>
      <c r="I18" s="338"/>
      <c r="J18" s="54" t="str">
        <f>IF(AND('Mapa final'!$AA$21="Alta",'Mapa final'!$AC$21="Leve"),CONCATENATE("R3C",'Mapa final'!$Q$21),"")</f>
        <v/>
      </c>
      <c r="K18" s="55" t="str">
        <f>IF(AND('Mapa final'!$AA$22="Alta",'Mapa final'!$AC$22="Leve"),CONCATENATE("R3C",'Mapa final'!$Q$22),"")</f>
        <v/>
      </c>
      <c r="L18" s="55" t="str">
        <f>IF(AND('Mapa final'!$AA$23="Alta",'Mapa final'!$AC$23="Leve"),CONCATENATE("R3C",'Mapa final'!$Q$23),"")</f>
        <v/>
      </c>
      <c r="M18" s="55" t="str">
        <f>IF(AND('Mapa final'!$AA$24="Alta",'Mapa final'!$AC$24="Leve"),CONCATENATE("R3C",'Mapa final'!$Q$24),"")</f>
        <v/>
      </c>
      <c r="N18" s="55" t="str">
        <f>IF(AND('Mapa final'!$AA$25="Alta",'Mapa final'!$AC$25="Leve"),CONCATENATE("R3C",'Mapa final'!$Q$25),"")</f>
        <v/>
      </c>
      <c r="O18" s="56" t="str">
        <f>IF(AND('Mapa final'!$AA$26="Alta",'Mapa final'!$AC$26="Leve"),CONCATENATE("R3C",'Mapa final'!$Q$26),"")</f>
        <v/>
      </c>
      <c r="P18" s="54" t="str">
        <f>IF(AND('Mapa final'!$AA$21="Alta",'Mapa final'!$AC$21="Menor"),CONCATENATE("R3C",'Mapa final'!$Q$21),"")</f>
        <v/>
      </c>
      <c r="Q18" s="55" t="str">
        <f>IF(AND('Mapa final'!$AA$22="Alta",'Mapa final'!$AC$22="Menor"),CONCATENATE("R3C",'Mapa final'!$Q$22),"")</f>
        <v/>
      </c>
      <c r="R18" s="55" t="str">
        <f>IF(AND('Mapa final'!$AA$23="Alta",'Mapa final'!$AC$23="Menor"),CONCATENATE("R3C",'Mapa final'!$Q$23),"")</f>
        <v/>
      </c>
      <c r="S18" s="55" t="str">
        <f>IF(AND('Mapa final'!$AA$24="Alta",'Mapa final'!$AC$24="Menor"),CONCATENATE("R3C",'Mapa final'!$Q$24),"")</f>
        <v/>
      </c>
      <c r="T18" s="55" t="str">
        <f>IF(AND('Mapa final'!$AA$25="Alta",'Mapa final'!$AC$25="Menor"),CONCATENATE("R3C",'Mapa final'!$Q$25),"")</f>
        <v/>
      </c>
      <c r="U18" s="56" t="str">
        <f>IF(AND('Mapa final'!$AA$26="Alta",'Mapa final'!$AC$26="Menor"),CONCATENATE("R3C",'Mapa final'!$Q$26),"")</f>
        <v/>
      </c>
      <c r="V18" s="38" t="str">
        <f>IF(AND('Mapa final'!$AA$21="Alta",'Mapa final'!$AC$21="Moderado"),CONCATENATE("R3C",'Mapa final'!$Q$21),"")</f>
        <v/>
      </c>
      <c r="W18" s="39" t="str">
        <f>IF(AND('Mapa final'!$AA$22="Alta",'Mapa final'!$AC$22="Moderado"),CONCATENATE("R3C",'Mapa final'!$Q$22),"")</f>
        <v/>
      </c>
      <c r="X18" s="39" t="str">
        <f>IF(AND('Mapa final'!$AA$23="Alta",'Mapa final'!$AC$23="Moderado"),CONCATENATE("R3C",'Mapa final'!$Q$23),"")</f>
        <v/>
      </c>
      <c r="Y18" s="39" t="str">
        <f>IF(AND('Mapa final'!$AA$24="Alta",'Mapa final'!$AC$24="Moderado"),CONCATENATE("R3C",'Mapa final'!$Q$24),"")</f>
        <v/>
      </c>
      <c r="Z18" s="39" t="str">
        <f>IF(AND('Mapa final'!$AA$25="Alta",'Mapa final'!$AC$25="Moderado"),CONCATENATE("R3C",'Mapa final'!$Q$25),"")</f>
        <v/>
      </c>
      <c r="AA18" s="40" t="str">
        <f>IF(AND('Mapa final'!$AA$26="Alta",'Mapa final'!$AC$26="Moderado"),CONCATENATE("R3C",'Mapa final'!$Q$26),"")</f>
        <v/>
      </c>
      <c r="AB18" s="38" t="str">
        <f>IF(AND('Mapa final'!$AA$21="Alta",'Mapa final'!$AC$21="Mayor"),CONCATENATE("R3C",'Mapa final'!$Q$21),"")</f>
        <v/>
      </c>
      <c r="AC18" s="39" t="str">
        <f>IF(AND('Mapa final'!$AA$22="Alta",'Mapa final'!$AC$22="Mayor"),CONCATENATE("R3C",'Mapa final'!$Q$22),"")</f>
        <v/>
      </c>
      <c r="AD18" s="39" t="str">
        <f>IF(AND('Mapa final'!$AA$23="Alta",'Mapa final'!$AC$23="Mayor"),CONCATENATE("R3C",'Mapa final'!$Q$23),"")</f>
        <v/>
      </c>
      <c r="AE18" s="39" t="str">
        <f>IF(AND('Mapa final'!$AA$24="Alta",'Mapa final'!$AC$24="Mayor"),CONCATENATE("R3C",'Mapa final'!$Q$24),"")</f>
        <v/>
      </c>
      <c r="AF18" s="39" t="str">
        <f>IF(AND('Mapa final'!$AA$25="Alta",'Mapa final'!$AC$25="Mayor"),CONCATENATE("R3C",'Mapa final'!$Q$25),"")</f>
        <v/>
      </c>
      <c r="AG18" s="40" t="str">
        <f>IF(AND('Mapa final'!$AA$26="Alta",'Mapa final'!$AC$26="Mayor"),CONCATENATE("R3C",'Mapa final'!$Q$26),"")</f>
        <v/>
      </c>
      <c r="AH18" s="41" t="str">
        <f>IF(AND('Mapa final'!$AA$21="Alta",'Mapa final'!$AC$21="Catastrófico"),CONCATENATE("R3C",'Mapa final'!$Q$21),"")</f>
        <v/>
      </c>
      <c r="AI18" s="42" t="str">
        <f>IF(AND('Mapa final'!$AA$22="Alta",'Mapa final'!$AC$22="Catastrófico"),CONCATENATE("R3C",'Mapa final'!$Q$22),"")</f>
        <v/>
      </c>
      <c r="AJ18" s="42" t="str">
        <f>IF(AND('Mapa final'!$AA$23="Alta",'Mapa final'!$AC$23="Catastrófico"),CONCATENATE("R3C",'Mapa final'!$Q$23),"")</f>
        <v/>
      </c>
      <c r="AK18" s="42" t="str">
        <f>IF(AND('Mapa final'!$AA$24="Alta",'Mapa final'!$AC$24="Catastrófico"),CONCATENATE("R3C",'Mapa final'!$Q$24),"")</f>
        <v/>
      </c>
      <c r="AL18" s="42" t="str">
        <f>IF(AND('Mapa final'!$AA$25="Alta",'Mapa final'!$AC$25="Catastrófico"),CONCATENATE("R3C",'Mapa final'!$Q$25),"")</f>
        <v/>
      </c>
      <c r="AM18" s="43" t="str">
        <f>IF(AND('Mapa final'!$AA$26="Alta",'Mapa final'!$AC$26="Catastrófico"),CONCATENATE("R3C",'Mapa final'!$Q$26),"")</f>
        <v/>
      </c>
      <c r="AN18" s="70"/>
      <c r="AO18" s="331"/>
      <c r="AP18" s="332"/>
      <c r="AQ18" s="332"/>
      <c r="AR18" s="332"/>
      <c r="AS18" s="332"/>
      <c r="AT18" s="333"/>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80"/>
      <c r="C19" s="280"/>
      <c r="D19" s="281"/>
      <c r="E19" s="321"/>
      <c r="F19" s="322"/>
      <c r="G19" s="322"/>
      <c r="H19" s="322"/>
      <c r="I19" s="338"/>
      <c r="J19" s="54" t="str">
        <f>IF(AND('Mapa final'!$AA$27="Alta",'Mapa final'!$AC$27="Leve"),CONCATENATE("R4C",'Mapa final'!$Q$27),"")</f>
        <v/>
      </c>
      <c r="K19" s="55" t="str">
        <f>IF(AND('Mapa final'!$AA$28="Alta",'Mapa final'!$AC$28="Leve"),CONCATENATE("R4C",'Mapa final'!$Q$28),"")</f>
        <v/>
      </c>
      <c r="L19" s="55" t="str">
        <f>IF(AND('Mapa final'!$AA$29="Alta",'Mapa final'!$AC$29="Leve"),CONCATENATE("R4C",'Mapa final'!$Q$29),"")</f>
        <v/>
      </c>
      <c r="M19" s="55" t="str">
        <f>IF(AND('Mapa final'!$AA$30="Alta",'Mapa final'!$AC$30="Leve"),CONCATENATE("R4C",'Mapa final'!$Q$30),"")</f>
        <v/>
      </c>
      <c r="N19" s="55" t="str">
        <f>IF(AND('Mapa final'!$AA$31="Alta",'Mapa final'!$AC$31="Leve"),CONCATENATE("R4C",'Mapa final'!$Q$31),"")</f>
        <v/>
      </c>
      <c r="O19" s="56" t="str">
        <f>IF(AND('Mapa final'!$AA$32="Alta",'Mapa final'!$AC$32="Leve"),CONCATENATE("R4C",'Mapa final'!$Q$32),"")</f>
        <v/>
      </c>
      <c r="P19" s="54" t="str">
        <f>IF(AND('Mapa final'!$AA$27="Alta",'Mapa final'!$AC$27="Menor"),CONCATENATE("R4C",'Mapa final'!$Q$27),"")</f>
        <v/>
      </c>
      <c r="Q19" s="55" t="str">
        <f>IF(AND('Mapa final'!$AA$28="Alta",'Mapa final'!$AC$28="Menor"),CONCATENATE("R4C",'Mapa final'!$Q$28),"")</f>
        <v/>
      </c>
      <c r="R19" s="55" t="str">
        <f>IF(AND('Mapa final'!$AA$29="Alta",'Mapa final'!$AC$29="Menor"),CONCATENATE("R4C",'Mapa final'!$Q$29),"")</f>
        <v/>
      </c>
      <c r="S19" s="55" t="str">
        <f>IF(AND('Mapa final'!$AA$30="Alta",'Mapa final'!$AC$30="Menor"),CONCATENATE("R4C",'Mapa final'!$Q$30),"")</f>
        <v/>
      </c>
      <c r="T19" s="55" t="str">
        <f>IF(AND('Mapa final'!$AA$31="Alta",'Mapa final'!$AC$31="Menor"),CONCATENATE("R4C",'Mapa final'!$Q$31),"")</f>
        <v/>
      </c>
      <c r="U19" s="56" t="str">
        <f>IF(AND('Mapa final'!$AA$32="Alta",'Mapa final'!$AC$32="Menor"),CONCATENATE("R4C",'Mapa final'!$Q$32),"")</f>
        <v/>
      </c>
      <c r="V19" s="38" t="str">
        <f>IF(AND('Mapa final'!$AA$27="Alta",'Mapa final'!$AC$27="Moderado"),CONCATENATE("R4C",'Mapa final'!$Q$27),"")</f>
        <v/>
      </c>
      <c r="W19" s="39" t="str">
        <f>IF(AND('Mapa final'!$AA$28="Alta",'Mapa final'!$AC$28="Moderado"),CONCATENATE("R4C",'Mapa final'!$Q$28),"")</f>
        <v/>
      </c>
      <c r="X19" s="44" t="str">
        <f>IF(AND('Mapa final'!$AA$29="Alta",'Mapa final'!$AC$29="Moderado"),CONCATENATE("R4C",'Mapa final'!$Q$29),"")</f>
        <v/>
      </c>
      <c r="Y19" s="44" t="str">
        <f>IF(AND('Mapa final'!$AA$30="Alta",'Mapa final'!$AC$30="Moderado"),CONCATENATE("R4C",'Mapa final'!$Q$30),"")</f>
        <v/>
      </c>
      <c r="Z19" s="44" t="str">
        <f>IF(AND('Mapa final'!$AA$31="Alta",'Mapa final'!$AC$31="Moderado"),CONCATENATE("R4C",'Mapa final'!$Q$31),"")</f>
        <v/>
      </c>
      <c r="AA19" s="40" t="str">
        <f>IF(AND('Mapa final'!$AA$32="Alta",'Mapa final'!$AC$32="Moderado"),CONCATENATE("R4C",'Mapa final'!$Q$32),"")</f>
        <v/>
      </c>
      <c r="AB19" s="38" t="str">
        <f>IF(AND('Mapa final'!$AA$27="Alta",'Mapa final'!$AC$27="Mayor"),CONCATENATE("R4C",'Mapa final'!$Q$27),"")</f>
        <v/>
      </c>
      <c r="AC19" s="39" t="str">
        <f>IF(AND('Mapa final'!$AA$28="Alta",'Mapa final'!$AC$28="Mayor"),CONCATENATE("R4C",'Mapa final'!$Q$28),"")</f>
        <v/>
      </c>
      <c r="AD19" s="44" t="str">
        <f>IF(AND('Mapa final'!$AA$29="Alta",'Mapa final'!$AC$29="Mayor"),CONCATENATE("R4C",'Mapa final'!$Q$29),"")</f>
        <v/>
      </c>
      <c r="AE19" s="44" t="str">
        <f>IF(AND('Mapa final'!$AA$30="Alta",'Mapa final'!$AC$30="Mayor"),CONCATENATE("R4C",'Mapa final'!$Q$30),"")</f>
        <v/>
      </c>
      <c r="AF19" s="44" t="str">
        <f>IF(AND('Mapa final'!$AA$31="Alta",'Mapa final'!$AC$31="Mayor"),CONCATENATE("R4C",'Mapa final'!$Q$31),"")</f>
        <v/>
      </c>
      <c r="AG19" s="40" t="str">
        <f>IF(AND('Mapa final'!$AA$32="Alta",'Mapa final'!$AC$32="Mayor"),CONCATENATE("R4C",'Mapa final'!$Q$32),"")</f>
        <v/>
      </c>
      <c r="AH19" s="41" t="str">
        <f>IF(AND('Mapa final'!$AA$27="Alta",'Mapa final'!$AC$27="Catastrófico"),CONCATENATE("R4C",'Mapa final'!$Q$27),"")</f>
        <v/>
      </c>
      <c r="AI19" s="42" t="str">
        <f>IF(AND('Mapa final'!$AA$28="Alta",'Mapa final'!$AC$28="Catastrófico"),CONCATENATE("R4C",'Mapa final'!$Q$28),"")</f>
        <v/>
      </c>
      <c r="AJ19" s="42" t="str">
        <f>IF(AND('Mapa final'!$AA$29="Alta",'Mapa final'!$AC$29="Catastrófico"),CONCATENATE("R4C",'Mapa final'!$Q$29),"")</f>
        <v/>
      </c>
      <c r="AK19" s="42" t="str">
        <f>IF(AND('Mapa final'!$AA$30="Alta",'Mapa final'!$AC$30="Catastrófico"),CONCATENATE("R4C",'Mapa final'!$Q$30),"")</f>
        <v/>
      </c>
      <c r="AL19" s="42" t="str">
        <f>IF(AND('Mapa final'!$AA$31="Alta",'Mapa final'!$AC$31="Catastrófico"),CONCATENATE("R4C",'Mapa final'!$Q$31),"")</f>
        <v/>
      </c>
      <c r="AM19" s="43" t="str">
        <f>IF(AND('Mapa final'!$AA$32="Alta",'Mapa final'!$AC$32="Catastrófico"),CONCATENATE("R4C",'Mapa final'!$Q$32),"")</f>
        <v/>
      </c>
      <c r="AN19" s="70"/>
      <c r="AO19" s="331"/>
      <c r="AP19" s="332"/>
      <c r="AQ19" s="332"/>
      <c r="AR19" s="332"/>
      <c r="AS19" s="332"/>
      <c r="AT19" s="333"/>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80"/>
      <c r="C20" s="280"/>
      <c r="D20" s="281"/>
      <c r="E20" s="321"/>
      <c r="F20" s="322"/>
      <c r="G20" s="322"/>
      <c r="H20" s="322"/>
      <c r="I20" s="338"/>
      <c r="J20" s="54" t="str">
        <f>IF(AND('Mapa final'!$AA$33="Alta",'Mapa final'!$AC$33="Leve"),CONCATENATE("R5C",'Mapa final'!$Q$33),"")</f>
        <v/>
      </c>
      <c r="K20" s="55" t="str">
        <f>IF(AND('Mapa final'!$AA$34="Alta",'Mapa final'!$AC$34="Leve"),CONCATENATE("R5C",'Mapa final'!$Q$34),"")</f>
        <v/>
      </c>
      <c r="L20" s="55" t="str">
        <f>IF(AND('Mapa final'!$AA$35="Alta",'Mapa final'!$AC$35="Leve"),CONCATENATE("R5C",'Mapa final'!$Q$35),"")</f>
        <v/>
      </c>
      <c r="M20" s="55" t="str">
        <f>IF(AND('Mapa final'!$AA$36="Alta",'Mapa final'!$AC$36="Leve"),CONCATENATE("R5C",'Mapa final'!$Q$36),"")</f>
        <v/>
      </c>
      <c r="N20" s="55" t="str">
        <f>IF(AND('Mapa final'!$AA$37="Alta",'Mapa final'!$AC$37="Leve"),CONCATENATE("R5C",'Mapa final'!$Q$37),"")</f>
        <v/>
      </c>
      <c r="O20" s="56" t="str">
        <f>IF(AND('Mapa final'!$AA$38="Alta",'Mapa final'!$AC$38="Leve"),CONCATENATE("R5C",'Mapa final'!$Q$38),"")</f>
        <v/>
      </c>
      <c r="P20" s="54" t="str">
        <f>IF(AND('Mapa final'!$AA$33="Alta",'Mapa final'!$AC$33="Menor"),CONCATENATE("R5C",'Mapa final'!$Q$33),"")</f>
        <v/>
      </c>
      <c r="Q20" s="55" t="str">
        <f>IF(AND('Mapa final'!$AA$34="Alta",'Mapa final'!$AC$34="Menor"),CONCATENATE("R5C",'Mapa final'!$Q$34),"")</f>
        <v/>
      </c>
      <c r="R20" s="55" t="str">
        <f>IF(AND('Mapa final'!$AA$35="Alta",'Mapa final'!$AC$35="Menor"),CONCATENATE("R5C",'Mapa final'!$Q$35),"")</f>
        <v/>
      </c>
      <c r="S20" s="55" t="str">
        <f>IF(AND('Mapa final'!$AA$36="Alta",'Mapa final'!$AC$36="Menor"),CONCATENATE("R5C",'Mapa final'!$Q$36),"")</f>
        <v/>
      </c>
      <c r="T20" s="55" t="str">
        <f>IF(AND('Mapa final'!$AA$37="Alta",'Mapa final'!$AC$37="Menor"),CONCATENATE("R5C",'Mapa final'!$Q$37),"")</f>
        <v/>
      </c>
      <c r="U20" s="56" t="str">
        <f>IF(AND('Mapa final'!$AA$38="Alta",'Mapa final'!$AC$38="Menor"),CONCATENATE("R5C",'Mapa final'!$Q$38),"")</f>
        <v/>
      </c>
      <c r="V20" s="38" t="str">
        <f>IF(AND('Mapa final'!$AA$33="Alta",'Mapa final'!$AC$33="Moderado"),CONCATENATE("R5C",'Mapa final'!$Q$33),"")</f>
        <v/>
      </c>
      <c r="W20" s="39" t="str">
        <f>IF(AND('Mapa final'!$AA$34="Alta",'Mapa final'!$AC$34="Moderado"),CONCATENATE("R5C",'Mapa final'!$Q$34),"")</f>
        <v/>
      </c>
      <c r="X20" s="44" t="str">
        <f>IF(AND('Mapa final'!$AA$35="Alta",'Mapa final'!$AC$35="Moderado"),CONCATENATE("R5C",'Mapa final'!$Q$35),"")</f>
        <v/>
      </c>
      <c r="Y20" s="44" t="str">
        <f>IF(AND('Mapa final'!$AA$36="Alta",'Mapa final'!$AC$36="Moderado"),CONCATENATE("R5C",'Mapa final'!$Q$36),"")</f>
        <v/>
      </c>
      <c r="Z20" s="44" t="str">
        <f>IF(AND('Mapa final'!$AA$37="Alta",'Mapa final'!$AC$37="Moderado"),CONCATENATE("R5C",'Mapa final'!$Q$37),"")</f>
        <v/>
      </c>
      <c r="AA20" s="40" t="str">
        <f>IF(AND('Mapa final'!$AA$38="Alta",'Mapa final'!$AC$38="Moderado"),CONCATENATE("R5C",'Mapa final'!$Q$38),"")</f>
        <v/>
      </c>
      <c r="AB20" s="38" t="str">
        <f>IF(AND('Mapa final'!$AA$33="Alta",'Mapa final'!$AC$33="Mayor"),CONCATENATE("R5C",'Mapa final'!$Q$33),"")</f>
        <v/>
      </c>
      <c r="AC20" s="39" t="str">
        <f>IF(AND('Mapa final'!$AA$34="Alta",'Mapa final'!$AC$34="Mayor"),CONCATENATE("R5C",'Mapa final'!$Q$34),"")</f>
        <v/>
      </c>
      <c r="AD20" s="44" t="str">
        <f>IF(AND('Mapa final'!$AA$35="Alta",'Mapa final'!$AC$35="Mayor"),CONCATENATE("R5C",'Mapa final'!$Q$35),"")</f>
        <v/>
      </c>
      <c r="AE20" s="44" t="str">
        <f>IF(AND('Mapa final'!$AA$36="Alta",'Mapa final'!$AC$36="Mayor"),CONCATENATE("R5C",'Mapa final'!$Q$36),"")</f>
        <v/>
      </c>
      <c r="AF20" s="44" t="str">
        <f>IF(AND('Mapa final'!$AA$37="Alta",'Mapa final'!$AC$37="Mayor"),CONCATENATE("R5C",'Mapa final'!$Q$37),"")</f>
        <v/>
      </c>
      <c r="AG20" s="40" t="str">
        <f>IF(AND('Mapa final'!$AA$38="Alta",'Mapa final'!$AC$38="Mayor"),CONCATENATE("R5C",'Mapa final'!$Q$38),"")</f>
        <v/>
      </c>
      <c r="AH20" s="41" t="str">
        <f>IF(AND('Mapa final'!$AA$33="Alta",'Mapa final'!$AC$33="Catastrófico"),CONCATENATE("R5C",'Mapa final'!$Q$33),"")</f>
        <v/>
      </c>
      <c r="AI20" s="42" t="str">
        <f>IF(AND('Mapa final'!$AA$34="Alta",'Mapa final'!$AC$34="Catastrófico"),CONCATENATE("R5C",'Mapa final'!$Q$34),"")</f>
        <v/>
      </c>
      <c r="AJ20" s="42" t="str">
        <f>IF(AND('Mapa final'!$AA$35="Alta",'Mapa final'!$AC$35="Catastrófico"),CONCATENATE("R5C",'Mapa final'!$Q$35),"")</f>
        <v/>
      </c>
      <c r="AK20" s="42" t="str">
        <f>IF(AND('Mapa final'!$AA$36="Alta",'Mapa final'!$AC$36="Catastrófico"),CONCATENATE("R5C",'Mapa final'!$Q$36),"")</f>
        <v/>
      </c>
      <c r="AL20" s="42" t="str">
        <f>IF(AND('Mapa final'!$AA$37="Alta",'Mapa final'!$AC$37="Catastrófico"),CONCATENATE("R5C",'Mapa final'!$Q$37),"")</f>
        <v/>
      </c>
      <c r="AM20" s="43" t="str">
        <f>IF(AND('Mapa final'!$AA$38="Alta",'Mapa final'!$AC$38="Catastrófico"),CONCATENATE("R5C",'Mapa final'!$Q$38),"")</f>
        <v/>
      </c>
      <c r="AN20" s="70"/>
      <c r="AO20" s="331"/>
      <c r="AP20" s="332"/>
      <c r="AQ20" s="332"/>
      <c r="AR20" s="332"/>
      <c r="AS20" s="332"/>
      <c r="AT20" s="333"/>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80"/>
      <c r="C21" s="280"/>
      <c r="D21" s="281"/>
      <c r="E21" s="321"/>
      <c r="F21" s="322"/>
      <c r="G21" s="322"/>
      <c r="H21" s="322"/>
      <c r="I21" s="338"/>
      <c r="J21" s="54" t="str">
        <f>IF(AND('Mapa final'!$AA$39="Alta",'Mapa final'!$AC$39="Leve"),CONCATENATE("R6C",'Mapa final'!$Q$39),"")</f>
        <v/>
      </c>
      <c r="K21" s="55" t="str">
        <f>IF(AND('Mapa final'!$AA$40="Alta",'Mapa final'!$AC$40="Leve"),CONCATENATE("R6C",'Mapa final'!$Q$40),"")</f>
        <v/>
      </c>
      <c r="L21" s="55" t="str">
        <f>IF(AND('Mapa final'!$AA$41="Alta",'Mapa final'!$AC$41="Leve"),CONCATENATE("R6C",'Mapa final'!$Q$41),"")</f>
        <v/>
      </c>
      <c r="M21" s="55" t="str">
        <f>IF(AND('Mapa final'!$AA$42="Alta",'Mapa final'!$AC$42="Leve"),CONCATENATE("R6C",'Mapa final'!$Q$42),"")</f>
        <v/>
      </c>
      <c r="N21" s="55" t="str">
        <f>IF(AND('Mapa final'!$AA$43="Alta",'Mapa final'!$AC$43="Leve"),CONCATENATE("R6C",'Mapa final'!$Q$43),"")</f>
        <v/>
      </c>
      <c r="O21" s="56" t="str">
        <f>IF(AND('Mapa final'!$AA$44="Alta",'Mapa final'!$AC$44="Leve"),CONCATENATE("R6C",'Mapa final'!$Q$44),"")</f>
        <v/>
      </c>
      <c r="P21" s="54" t="str">
        <f>IF(AND('Mapa final'!$AA$39="Alta",'Mapa final'!$AC$39="Menor"),CONCATENATE("R6C",'Mapa final'!$Q$39),"")</f>
        <v/>
      </c>
      <c r="Q21" s="55" t="str">
        <f>IF(AND('Mapa final'!$AA$40="Alta",'Mapa final'!$AC$40="Menor"),CONCATENATE("R6C",'Mapa final'!$Q$40),"")</f>
        <v/>
      </c>
      <c r="R21" s="55" t="str">
        <f>IF(AND('Mapa final'!$AA$41="Alta",'Mapa final'!$AC$41="Menor"),CONCATENATE("R6C",'Mapa final'!$Q$41),"")</f>
        <v/>
      </c>
      <c r="S21" s="55" t="str">
        <f>IF(AND('Mapa final'!$AA$42="Alta",'Mapa final'!$AC$42="Menor"),CONCATENATE("R6C",'Mapa final'!$Q$42),"")</f>
        <v/>
      </c>
      <c r="T21" s="55" t="str">
        <f>IF(AND('Mapa final'!$AA$43="Alta",'Mapa final'!$AC$43="Menor"),CONCATENATE("R6C",'Mapa final'!$Q$43),"")</f>
        <v/>
      </c>
      <c r="U21" s="56" t="str">
        <f>IF(AND('Mapa final'!$AA$44="Alta",'Mapa final'!$AC$44="Menor"),CONCATENATE("R6C",'Mapa final'!$Q$44),"")</f>
        <v/>
      </c>
      <c r="V21" s="38" t="str">
        <f>IF(AND('Mapa final'!$AA$39="Alta",'Mapa final'!$AC$39="Moderado"),CONCATENATE("R6C",'Mapa final'!$Q$39),"")</f>
        <v/>
      </c>
      <c r="W21" s="39" t="str">
        <f>IF(AND('Mapa final'!$AA$40="Alta",'Mapa final'!$AC$40="Moderado"),CONCATENATE("R6C",'Mapa final'!$Q$40),"")</f>
        <v/>
      </c>
      <c r="X21" s="44" t="str">
        <f>IF(AND('Mapa final'!$AA$41="Alta",'Mapa final'!$AC$41="Moderado"),CONCATENATE("R6C",'Mapa final'!$Q$41),"")</f>
        <v/>
      </c>
      <c r="Y21" s="44" t="str">
        <f>IF(AND('Mapa final'!$AA$42="Alta",'Mapa final'!$AC$42="Moderado"),CONCATENATE("R6C",'Mapa final'!$Q$42),"")</f>
        <v/>
      </c>
      <c r="Z21" s="44" t="str">
        <f>IF(AND('Mapa final'!$AA$43="Alta",'Mapa final'!$AC$43="Moderado"),CONCATENATE("R6C",'Mapa final'!$Q$43),"")</f>
        <v/>
      </c>
      <c r="AA21" s="40" t="str">
        <f>IF(AND('Mapa final'!$AA$44="Alta",'Mapa final'!$AC$44="Moderado"),CONCATENATE("R6C",'Mapa final'!$Q$44),"")</f>
        <v/>
      </c>
      <c r="AB21" s="38" t="str">
        <f>IF(AND('Mapa final'!$AA$39="Alta",'Mapa final'!$AC$39="Mayor"),CONCATENATE("R6C",'Mapa final'!$Q$39),"")</f>
        <v/>
      </c>
      <c r="AC21" s="39" t="str">
        <f>IF(AND('Mapa final'!$AA$40="Alta",'Mapa final'!$AC$40="Mayor"),CONCATENATE("R6C",'Mapa final'!$Q$40),"")</f>
        <v/>
      </c>
      <c r="AD21" s="44" t="str">
        <f>IF(AND('Mapa final'!$AA$41="Alta",'Mapa final'!$AC$41="Mayor"),CONCATENATE("R6C",'Mapa final'!$Q$41),"")</f>
        <v/>
      </c>
      <c r="AE21" s="44" t="str">
        <f>IF(AND('Mapa final'!$AA$42="Alta",'Mapa final'!$AC$42="Mayor"),CONCATENATE("R6C",'Mapa final'!$Q$42),"")</f>
        <v/>
      </c>
      <c r="AF21" s="44" t="str">
        <f>IF(AND('Mapa final'!$AA$43="Alta",'Mapa final'!$AC$43="Mayor"),CONCATENATE("R6C",'Mapa final'!$Q$43),"")</f>
        <v/>
      </c>
      <c r="AG21" s="40" t="str">
        <f>IF(AND('Mapa final'!$AA$44="Alta",'Mapa final'!$AC$44="Mayor"),CONCATENATE("R6C",'Mapa final'!$Q$44),"")</f>
        <v/>
      </c>
      <c r="AH21" s="41" t="str">
        <f>IF(AND('Mapa final'!$AA$39="Alta",'Mapa final'!$AC$39="Catastrófico"),CONCATENATE("R6C",'Mapa final'!$Q$39),"")</f>
        <v/>
      </c>
      <c r="AI21" s="42" t="str">
        <f>IF(AND('Mapa final'!$AA$40="Alta",'Mapa final'!$AC$40="Catastrófico"),CONCATENATE("R6C",'Mapa final'!$Q$40),"")</f>
        <v/>
      </c>
      <c r="AJ21" s="42" t="str">
        <f>IF(AND('Mapa final'!$AA$41="Alta",'Mapa final'!$AC$41="Catastrófico"),CONCATENATE("R6C",'Mapa final'!$Q$41),"")</f>
        <v/>
      </c>
      <c r="AK21" s="42" t="str">
        <f>IF(AND('Mapa final'!$AA$42="Alta",'Mapa final'!$AC$42="Catastrófico"),CONCATENATE("R6C",'Mapa final'!$Q$42),"")</f>
        <v/>
      </c>
      <c r="AL21" s="42" t="str">
        <f>IF(AND('Mapa final'!$AA$43="Alta",'Mapa final'!$AC$43="Catastrófico"),CONCATENATE("R6C",'Mapa final'!$Q$43),"")</f>
        <v/>
      </c>
      <c r="AM21" s="43" t="str">
        <f>IF(AND('Mapa final'!$AA$44="Alta",'Mapa final'!$AC$44="Catastrófico"),CONCATENATE("R6C",'Mapa final'!$Q$44),"")</f>
        <v/>
      </c>
      <c r="AN21" s="70"/>
      <c r="AO21" s="331"/>
      <c r="AP21" s="332"/>
      <c r="AQ21" s="332"/>
      <c r="AR21" s="332"/>
      <c r="AS21" s="332"/>
      <c r="AT21" s="333"/>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80"/>
      <c r="C22" s="280"/>
      <c r="D22" s="281"/>
      <c r="E22" s="321"/>
      <c r="F22" s="322"/>
      <c r="G22" s="322"/>
      <c r="H22" s="322"/>
      <c r="I22" s="338"/>
      <c r="J22" s="54" t="str">
        <f>IF(AND('Mapa final'!$AA$45="Alta",'Mapa final'!$AC$45="Leve"),CONCATENATE("R7C",'Mapa final'!$Q$45),"")</f>
        <v/>
      </c>
      <c r="K22" s="55" t="str">
        <f>IF(AND('Mapa final'!$AA$46="Alta",'Mapa final'!$AC$46="Leve"),CONCATENATE("R7C",'Mapa final'!$Q$46),"")</f>
        <v/>
      </c>
      <c r="L22" s="55" t="str">
        <f>IF(AND('Mapa final'!$AA$47="Alta",'Mapa final'!$AC$47="Leve"),CONCATENATE("R7C",'Mapa final'!$Q$47),"")</f>
        <v/>
      </c>
      <c r="M22" s="55" t="str">
        <f>IF(AND('Mapa final'!$AA$48="Alta",'Mapa final'!$AC$48="Leve"),CONCATENATE("R7C",'Mapa final'!$Q$48),"")</f>
        <v/>
      </c>
      <c r="N22" s="55" t="str">
        <f>IF(AND('Mapa final'!$AA$49="Alta",'Mapa final'!$AC$49="Leve"),CONCATENATE("R7C",'Mapa final'!$Q$49),"")</f>
        <v/>
      </c>
      <c r="O22" s="56" t="str">
        <f>IF(AND('Mapa final'!$AA$50="Alta",'Mapa final'!$AC$50="Leve"),CONCATENATE("R7C",'Mapa final'!$Q$50),"")</f>
        <v/>
      </c>
      <c r="P22" s="54" t="str">
        <f>IF(AND('Mapa final'!$AA$45="Alta",'Mapa final'!$AC$45="Menor"),CONCATENATE("R7C",'Mapa final'!$Q$45),"")</f>
        <v/>
      </c>
      <c r="Q22" s="55" t="str">
        <f>IF(AND('Mapa final'!$AA$46="Alta",'Mapa final'!$AC$46="Menor"),CONCATENATE("R7C",'Mapa final'!$Q$46),"")</f>
        <v/>
      </c>
      <c r="R22" s="55" t="str">
        <f>IF(AND('Mapa final'!$AA$47="Alta",'Mapa final'!$AC$47="Menor"),CONCATENATE("R7C",'Mapa final'!$Q$47),"")</f>
        <v/>
      </c>
      <c r="S22" s="55" t="str">
        <f>IF(AND('Mapa final'!$AA$48="Alta",'Mapa final'!$AC$48="Menor"),CONCATENATE("R7C",'Mapa final'!$Q$48),"")</f>
        <v/>
      </c>
      <c r="T22" s="55" t="str">
        <f>IF(AND('Mapa final'!$AA$49="Alta",'Mapa final'!$AC$49="Menor"),CONCATENATE("R7C",'Mapa final'!$Q$49),"")</f>
        <v/>
      </c>
      <c r="U22" s="56" t="str">
        <f>IF(AND('Mapa final'!$AA$50="Alta",'Mapa final'!$AC$50="Menor"),CONCATENATE("R7C",'Mapa final'!$Q$50),"")</f>
        <v/>
      </c>
      <c r="V22" s="38" t="str">
        <f>IF(AND('Mapa final'!$AA$45="Alta",'Mapa final'!$AC$45="Moderado"),CONCATENATE("R7C",'Mapa final'!$Q$45),"")</f>
        <v/>
      </c>
      <c r="W22" s="39" t="str">
        <f>IF(AND('Mapa final'!$AA$46="Alta",'Mapa final'!$AC$46="Moderado"),CONCATENATE("R7C",'Mapa final'!$Q$46),"")</f>
        <v/>
      </c>
      <c r="X22" s="44" t="str">
        <f>IF(AND('Mapa final'!$AA$47="Alta",'Mapa final'!$AC$47="Moderado"),CONCATENATE("R7C",'Mapa final'!$Q$47),"")</f>
        <v/>
      </c>
      <c r="Y22" s="44" t="str">
        <f>IF(AND('Mapa final'!$AA$48="Alta",'Mapa final'!$AC$48="Moderado"),CONCATENATE("R7C",'Mapa final'!$Q$48),"")</f>
        <v/>
      </c>
      <c r="Z22" s="44" t="str">
        <f>IF(AND('Mapa final'!$AA$49="Alta",'Mapa final'!$AC$49="Moderado"),CONCATENATE("R7C",'Mapa final'!$Q$49),"")</f>
        <v/>
      </c>
      <c r="AA22" s="40" t="str">
        <f>IF(AND('Mapa final'!$AA$50="Alta",'Mapa final'!$AC$50="Moderado"),CONCATENATE("R7C",'Mapa final'!$Q$50),"")</f>
        <v/>
      </c>
      <c r="AB22" s="38" t="str">
        <f>IF(AND('Mapa final'!$AA$45="Alta",'Mapa final'!$AC$45="Mayor"),CONCATENATE("R7C",'Mapa final'!$Q$45),"")</f>
        <v/>
      </c>
      <c r="AC22" s="39" t="str">
        <f>IF(AND('Mapa final'!$AA$46="Alta",'Mapa final'!$AC$46="Mayor"),CONCATENATE("R7C",'Mapa final'!$Q$46),"")</f>
        <v/>
      </c>
      <c r="AD22" s="44" t="str">
        <f>IF(AND('Mapa final'!$AA$47="Alta",'Mapa final'!$AC$47="Mayor"),CONCATENATE("R7C",'Mapa final'!$Q$47),"")</f>
        <v/>
      </c>
      <c r="AE22" s="44" t="str">
        <f>IF(AND('Mapa final'!$AA$48="Alta",'Mapa final'!$AC$48="Mayor"),CONCATENATE("R7C",'Mapa final'!$Q$48),"")</f>
        <v/>
      </c>
      <c r="AF22" s="44" t="str">
        <f>IF(AND('Mapa final'!$AA$49="Alta",'Mapa final'!$AC$49="Mayor"),CONCATENATE("R7C",'Mapa final'!$Q$49),"")</f>
        <v/>
      </c>
      <c r="AG22" s="40" t="str">
        <f>IF(AND('Mapa final'!$AA$50="Alta",'Mapa final'!$AC$50="Mayor"),CONCATENATE("R7C",'Mapa final'!$Q$50),"")</f>
        <v/>
      </c>
      <c r="AH22" s="41" t="str">
        <f>IF(AND('Mapa final'!$AA$45="Alta",'Mapa final'!$AC$45="Catastrófico"),CONCATENATE("R7C",'Mapa final'!$Q$45),"")</f>
        <v/>
      </c>
      <c r="AI22" s="42" t="str">
        <f>IF(AND('Mapa final'!$AA$46="Alta",'Mapa final'!$AC$46="Catastrófico"),CONCATENATE("R7C",'Mapa final'!$Q$46),"")</f>
        <v/>
      </c>
      <c r="AJ22" s="42" t="str">
        <f>IF(AND('Mapa final'!$AA$47="Alta",'Mapa final'!$AC$47="Catastrófico"),CONCATENATE("R7C",'Mapa final'!$Q$47),"")</f>
        <v/>
      </c>
      <c r="AK22" s="42" t="str">
        <f>IF(AND('Mapa final'!$AA$48="Alta",'Mapa final'!$AC$48="Catastrófico"),CONCATENATE("R7C",'Mapa final'!$Q$48),"")</f>
        <v/>
      </c>
      <c r="AL22" s="42" t="str">
        <f>IF(AND('Mapa final'!$AA$49="Alta",'Mapa final'!$AC$49="Catastrófico"),CONCATENATE("R7C",'Mapa final'!$Q$49),"")</f>
        <v/>
      </c>
      <c r="AM22" s="43" t="str">
        <f>IF(AND('Mapa final'!$AA$50="Alta",'Mapa final'!$AC$50="Catastrófico"),CONCATENATE("R7C",'Mapa final'!$Q$50),"")</f>
        <v/>
      </c>
      <c r="AN22" s="70"/>
      <c r="AO22" s="331"/>
      <c r="AP22" s="332"/>
      <c r="AQ22" s="332"/>
      <c r="AR22" s="332"/>
      <c r="AS22" s="332"/>
      <c r="AT22" s="333"/>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80"/>
      <c r="C23" s="280"/>
      <c r="D23" s="281"/>
      <c r="E23" s="321"/>
      <c r="F23" s="322"/>
      <c r="G23" s="322"/>
      <c r="H23" s="322"/>
      <c r="I23" s="338"/>
      <c r="J23" s="54" t="str">
        <f>IF(AND('Mapa final'!$AA$51="Alta",'Mapa final'!$AC$51="Leve"),CONCATENATE("R8C",'Mapa final'!$Q$51),"")</f>
        <v/>
      </c>
      <c r="K23" s="55" t="str">
        <f>IF(AND('Mapa final'!$AA$52="Alta",'Mapa final'!$AC$52="Leve"),CONCATENATE("R8C",'Mapa final'!$Q$52),"")</f>
        <v/>
      </c>
      <c r="L23" s="55" t="str">
        <f>IF(AND('Mapa final'!$AA$53="Alta",'Mapa final'!$AC$53="Leve"),CONCATENATE("R8C",'Mapa final'!$Q$53),"")</f>
        <v/>
      </c>
      <c r="M23" s="55" t="str">
        <f>IF(AND('Mapa final'!$AA$54="Alta",'Mapa final'!$AC$54="Leve"),CONCATENATE("R8C",'Mapa final'!$Q$54),"")</f>
        <v/>
      </c>
      <c r="N23" s="55" t="str">
        <f>IF(AND('Mapa final'!$AA$55="Alta",'Mapa final'!$AC$55="Leve"),CONCATENATE("R8C",'Mapa final'!$Q$55),"")</f>
        <v/>
      </c>
      <c r="O23" s="56" t="str">
        <f>IF(AND('Mapa final'!$AA$56="Alta",'Mapa final'!$AC$56="Leve"),CONCATENATE("R8C",'Mapa final'!$Q$56),"")</f>
        <v/>
      </c>
      <c r="P23" s="54" t="str">
        <f>IF(AND('Mapa final'!$AA$51="Alta",'Mapa final'!$AC$51="Menor"),CONCATENATE("R8C",'Mapa final'!$Q$51),"")</f>
        <v/>
      </c>
      <c r="Q23" s="55" t="str">
        <f>IF(AND('Mapa final'!$AA$52="Alta",'Mapa final'!$AC$52="Menor"),CONCATENATE("R8C",'Mapa final'!$Q$52),"")</f>
        <v/>
      </c>
      <c r="R23" s="55" t="str">
        <f>IF(AND('Mapa final'!$AA$53="Alta",'Mapa final'!$AC$53="Menor"),CONCATENATE("R8C",'Mapa final'!$Q$53),"")</f>
        <v/>
      </c>
      <c r="S23" s="55" t="str">
        <f>IF(AND('Mapa final'!$AA$54="Alta",'Mapa final'!$AC$54="Menor"),CONCATENATE("R8C",'Mapa final'!$Q$54),"")</f>
        <v/>
      </c>
      <c r="T23" s="55" t="str">
        <f>IF(AND('Mapa final'!$AA$55="Alta",'Mapa final'!$AC$55="Menor"),CONCATENATE("R8C",'Mapa final'!$Q$55),"")</f>
        <v/>
      </c>
      <c r="U23" s="56" t="str">
        <f>IF(AND('Mapa final'!$AA$56="Alta",'Mapa final'!$AC$56="Menor"),CONCATENATE("R8C",'Mapa final'!$Q$56),"")</f>
        <v/>
      </c>
      <c r="V23" s="38" t="str">
        <f>IF(AND('Mapa final'!$AA$51="Alta",'Mapa final'!$AC$51="Moderado"),CONCATENATE("R8C",'Mapa final'!$Q$51),"")</f>
        <v/>
      </c>
      <c r="W23" s="39" t="str">
        <f>IF(AND('Mapa final'!$AA$52="Alta",'Mapa final'!$AC$52="Moderado"),CONCATENATE("R8C",'Mapa final'!$Q$52),"")</f>
        <v/>
      </c>
      <c r="X23" s="44" t="str">
        <f>IF(AND('Mapa final'!$AA$53="Alta",'Mapa final'!$AC$53="Moderado"),CONCATENATE("R8C",'Mapa final'!$Q$53),"")</f>
        <v/>
      </c>
      <c r="Y23" s="44" t="str">
        <f>IF(AND('Mapa final'!$AA$54="Alta",'Mapa final'!$AC$54="Moderado"),CONCATENATE("R8C",'Mapa final'!$Q$54),"")</f>
        <v/>
      </c>
      <c r="Z23" s="44" t="str">
        <f>IF(AND('Mapa final'!$AA$55="Alta",'Mapa final'!$AC$55="Moderado"),CONCATENATE("R8C",'Mapa final'!$Q$55),"")</f>
        <v/>
      </c>
      <c r="AA23" s="40" t="str">
        <f>IF(AND('Mapa final'!$AA$56="Alta",'Mapa final'!$AC$56="Moderado"),CONCATENATE("R8C",'Mapa final'!$Q$56),"")</f>
        <v/>
      </c>
      <c r="AB23" s="38" t="str">
        <f>IF(AND('Mapa final'!$AA$51="Alta",'Mapa final'!$AC$51="Mayor"),CONCATENATE("R8C",'Mapa final'!$Q$51),"")</f>
        <v/>
      </c>
      <c r="AC23" s="39" t="str">
        <f>IF(AND('Mapa final'!$AA$52="Alta",'Mapa final'!$AC$52="Mayor"),CONCATENATE("R8C",'Mapa final'!$Q$52),"")</f>
        <v/>
      </c>
      <c r="AD23" s="44" t="str">
        <f>IF(AND('Mapa final'!$AA$53="Alta",'Mapa final'!$AC$53="Mayor"),CONCATENATE("R8C",'Mapa final'!$Q$53),"")</f>
        <v/>
      </c>
      <c r="AE23" s="44" t="str">
        <f>IF(AND('Mapa final'!$AA$54="Alta",'Mapa final'!$AC$54="Mayor"),CONCATENATE("R8C",'Mapa final'!$Q$54),"")</f>
        <v/>
      </c>
      <c r="AF23" s="44" t="str">
        <f>IF(AND('Mapa final'!$AA$55="Alta",'Mapa final'!$AC$55="Mayor"),CONCATENATE("R8C",'Mapa final'!$Q$55),"")</f>
        <v/>
      </c>
      <c r="AG23" s="40" t="str">
        <f>IF(AND('Mapa final'!$AA$56="Alta",'Mapa final'!$AC$56="Mayor"),CONCATENATE("R8C",'Mapa final'!$Q$56),"")</f>
        <v/>
      </c>
      <c r="AH23" s="41" t="str">
        <f>IF(AND('Mapa final'!$AA$51="Alta",'Mapa final'!$AC$51="Catastrófico"),CONCATENATE("R8C",'Mapa final'!$Q$51),"")</f>
        <v/>
      </c>
      <c r="AI23" s="42" t="str">
        <f>IF(AND('Mapa final'!$AA$52="Alta",'Mapa final'!$AC$52="Catastrófico"),CONCATENATE("R8C",'Mapa final'!$Q$52),"")</f>
        <v/>
      </c>
      <c r="AJ23" s="42" t="str">
        <f>IF(AND('Mapa final'!$AA$53="Alta",'Mapa final'!$AC$53="Catastrófico"),CONCATENATE("R8C",'Mapa final'!$Q$53),"")</f>
        <v/>
      </c>
      <c r="AK23" s="42" t="str">
        <f>IF(AND('Mapa final'!$AA$54="Alta",'Mapa final'!$AC$54="Catastrófico"),CONCATENATE("R8C",'Mapa final'!$Q$54),"")</f>
        <v/>
      </c>
      <c r="AL23" s="42" t="str">
        <f>IF(AND('Mapa final'!$AA$55="Alta",'Mapa final'!$AC$55="Catastrófico"),CONCATENATE("R8C",'Mapa final'!$Q$55),"")</f>
        <v/>
      </c>
      <c r="AM23" s="43" t="str">
        <f>IF(AND('Mapa final'!$AA$56="Alta",'Mapa final'!$AC$56="Catastrófico"),CONCATENATE("R8C",'Mapa final'!$Q$56),"")</f>
        <v/>
      </c>
      <c r="AN23" s="70"/>
      <c r="AO23" s="331"/>
      <c r="AP23" s="332"/>
      <c r="AQ23" s="332"/>
      <c r="AR23" s="332"/>
      <c r="AS23" s="332"/>
      <c r="AT23" s="333"/>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80"/>
      <c r="C24" s="280"/>
      <c r="D24" s="281"/>
      <c r="E24" s="321"/>
      <c r="F24" s="322"/>
      <c r="G24" s="322"/>
      <c r="H24" s="322"/>
      <c r="I24" s="338"/>
      <c r="J24" s="54" t="str">
        <f>IF(AND('Mapa final'!$AA$57="Alta",'Mapa final'!$AC$57="Leve"),CONCATENATE("R9C",'Mapa final'!$Q$57),"")</f>
        <v/>
      </c>
      <c r="K24" s="55" t="str">
        <f>IF(AND('Mapa final'!$AA$58="Alta",'Mapa final'!$AC$58="Leve"),CONCATENATE("R9C",'Mapa final'!$Q$58),"")</f>
        <v/>
      </c>
      <c r="L24" s="55" t="str">
        <f>IF(AND('Mapa final'!$AA$59="Alta",'Mapa final'!$AC$59="Leve"),CONCATENATE("R9C",'Mapa final'!$Q$59),"")</f>
        <v/>
      </c>
      <c r="M24" s="55" t="str">
        <f>IF(AND('Mapa final'!$AA$60="Alta",'Mapa final'!$AC$60="Leve"),CONCATENATE("R9C",'Mapa final'!$Q$60),"")</f>
        <v/>
      </c>
      <c r="N24" s="55" t="str">
        <f>IF(AND('Mapa final'!$AA$61="Alta",'Mapa final'!$AC$61="Leve"),CONCATENATE("R9C",'Mapa final'!$Q$61),"")</f>
        <v/>
      </c>
      <c r="O24" s="56" t="str">
        <f>IF(AND('Mapa final'!$AA$62="Alta",'Mapa final'!$AC$62="Leve"),CONCATENATE("R9C",'Mapa final'!$Q$62),"")</f>
        <v/>
      </c>
      <c r="P24" s="54" t="str">
        <f>IF(AND('Mapa final'!$AA$57="Alta",'Mapa final'!$AC$57="Menor"),CONCATENATE("R9C",'Mapa final'!$Q$57),"")</f>
        <v/>
      </c>
      <c r="Q24" s="55" t="str">
        <f>IF(AND('Mapa final'!$AA$58="Alta",'Mapa final'!$AC$58="Menor"),CONCATENATE("R9C",'Mapa final'!$Q$58),"")</f>
        <v/>
      </c>
      <c r="R24" s="55" t="str">
        <f>IF(AND('Mapa final'!$AA$59="Alta",'Mapa final'!$AC$59="Menor"),CONCATENATE("R9C",'Mapa final'!$Q$59),"")</f>
        <v/>
      </c>
      <c r="S24" s="55" t="str">
        <f>IF(AND('Mapa final'!$AA$60="Alta",'Mapa final'!$AC$60="Menor"),CONCATENATE("R9C",'Mapa final'!$Q$60),"")</f>
        <v/>
      </c>
      <c r="T24" s="55" t="str">
        <f>IF(AND('Mapa final'!$AA$61="Alta",'Mapa final'!$AC$61="Menor"),CONCATENATE("R9C",'Mapa final'!$Q$61),"")</f>
        <v/>
      </c>
      <c r="U24" s="56" t="str">
        <f>IF(AND('Mapa final'!$AA$62="Alta",'Mapa final'!$AC$62="Menor"),CONCATENATE("R9C",'Mapa final'!$Q$62),"")</f>
        <v/>
      </c>
      <c r="V24" s="38" t="str">
        <f>IF(AND('Mapa final'!$AA$57="Alta",'Mapa final'!$AC$57="Moderado"),CONCATENATE("R9C",'Mapa final'!$Q$57),"")</f>
        <v/>
      </c>
      <c r="W24" s="39" t="str">
        <f>IF(AND('Mapa final'!$AA$58="Alta",'Mapa final'!$AC$58="Moderado"),CONCATENATE("R9C",'Mapa final'!$Q$58),"")</f>
        <v/>
      </c>
      <c r="X24" s="44" t="str">
        <f>IF(AND('Mapa final'!$AA$59="Alta",'Mapa final'!$AC$59="Moderado"),CONCATENATE("R9C",'Mapa final'!$Q$59),"")</f>
        <v/>
      </c>
      <c r="Y24" s="44" t="str">
        <f>IF(AND('Mapa final'!$AA$60="Alta",'Mapa final'!$AC$60="Moderado"),CONCATENATE("R9C",'Mapa final'!$Q$60),"")</f>
        <v/>
      </c>
      <c r="Z24" s="44" t="str">
        <f>IF(AND('Mapa final'!$AA$61="Alta",'Mapa final'!$AC$61="Moderado"),CONCATENATE("R9C",'Mapa final'!$Q$61),"")</f>
        <v/>
      </c>
      <c r="AA24" s="40" t="str">
        <f>IF(AND('Mapa final'!$AA$62="Alta",'Mapa final'!$AC$62="Moderado"),CONCATENATE("R9C",'Mapa final'!$Q$62),"")</f>
        <v/>
      </c>
      <c r="AB24" s="38" t="str">
        <f>IF(AND('Mapa final'!$AA$57="Alta",'Mapa final'!$AC$57="Mayor"),CONCATENATE("R9C",'Mapa final'!$Q$57),"")</f>
        <v/>
      </c>
      <c r="AC24" s="39" t="str">
        <f>IF(AND('Mapa final'!$AA$58="Alta",'Mapa final'!$AC$58="Mayor"),CONCATENATE("R9C",'Mapa final'!$Q$58),"")</f>
        <v/>
      </c>
      <c r="AD24" s="44" t="str">
        <f>IF(AND('Mapa final'!$AA$59="Alta",'Mapa final'!$AC$59="Mayor"),CONCATENATE("R9C",'Mapa final'!$Q$59),"")</f>
        <v/>
      </c>
      <c r="AE24" s="44" t="str">
        <f>IF(AND('Mapa final'!$AA$60="Alta",'Mapa final'!$AC$60="Mayor"),CONCATENATE("R9C",'Mapa final'!$Q$60),"")</f>
        <v/>
      </c>
      <c r="AF24" s="44" t="str">
        <f>IF(AND('Mapa final'!$AA$61="Alta",'Mapa final'!$AC$61="Mayor"),CONCATENATE("R9C",'Mapa final'!$Q$61),"")</f>
        <v/>
      </c>
      <c r="AG24" s="40" t="str">
        <f>IF(AND('Mapa final'!$AA$62="Alta",'Mapa final'!$AC$62="Mayor"),CONCATENATE("R9C",'Mapa final'!$Q$62),"")</f>
        <v/>
      </c>
      <c r="AH24" s="41" t="str">
        <f>IF(AND('Mapa final'!$AA$57="Alta",'Mapa final'!$AC$57="Catastrófico"),CONCATENATE("R9C",'Mapa final'!$Q$57),"")</f>
        <v/>
      </c>
      <c r="AI24" s="42" t="str">
        <f>IF(AND('Mapa final'!$AA$58="Alta",'Mapa final'!$AC$58="Catastrófico"),CONCATENATE("R9C",'Mapa final'!$Q$58),"")</f>
        <v/>
      </c>
      <c r="AJ24" s="42" t="str">
        <f>IF(AND('Mapa final'!$AA$59="Alta",'Mapa final'!$AC$59="Catastrófico"),CONCATENATE("R9C",'Mapa final'!$Q$59),"")</f>
        <v/>
      </c>
      <c r="AK24" s="42" t="str">
        <f>IF(AND('Mapa final'!$AA$60="Alta",'Mapa final'!$AC$60="Catastrófico"),CONCATENATE("R9C",'Mapa final'!$Q$60),"")</f>
        <v/>
      </c>
      <c r="AL24" s="42" t="str">
        <f>IF(AND('Mapa final'!$AA$61="Alta",'Mapa final'!$AC$61="Catastrófico"),CONCATENATE("R9C",'Mapa final'!$Q$61),"")</f>
        <v/>
      </c>
      <c r="AM24" s="43" t="str">
        <f>IF(AND('Mapa final'!$AA$62="Alta",'Mapa final'!$AC$62="Catastrófico"),CONCATENATE("R9C",'Mapa final'!$Q$62),"")</f>
        <v/>
      </c>
      <c r="AN24" s="70"/>
      <c r="AO24" s="331"/>
      <c r="AP24" s="332"/>
      <c r="AQ24" s="332"/>
      <c r="AR24" s="332"/>
      <c r="AS24" s="332"/>
      <c r="AT24" s="333"/>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80"/>
      <c r="C25" s="280"/>
      <c r="D25" s="281"/>
      <c r="E25" s="324"/>
      <c r="F25" s="325"/>
      <c r="G25" s="325"/>
      <c r="H25" s="325"/>
      <c r="I25" s="325"/>
      <c r="J25" s="57" t="str">
        <f>IF(AND('Mapa final'!$AA$63="Alta",'Mapa final'!$AC$63="Leve"),CONCATENATE("R10C",'Mapa final'!$Q$63),"")</f>
        <v/>
      </c>
      <c r="K25" s="58" t="str">
        <f>IF(AND('Mapa final'!$AA$64="Alta",'Mapa final'!$AC$64="Leve"),CONCATENATE("R10C",'Mapa final'!$Q$64),"")</f>
        <v/>
      </c>
      <c r="L25" s="58" t="str">
        <f>IF(AND('Mapa final'!$AA$65="Alta",'Mapa final'!$AC$65="Leve"),CONCATENATE("R10C",'Mapa final'!$Q$65),"")</f>
        <v/>
      </c>
      <c r="M25" s="58" t="str">
        <f>IF(AND('Mapa final'!$AA$66="Alta",'Mapa final'!$AC$66="Leve"),CONCATENATE("R10C",'Mapa final'!$Q$66),"")</f>
        <v/>
      </c>
      <c r="N25" s="58" t="str">
        <f>IF(AND('Mapa final'!$AA$67="Alta",'Mapa final'!$AC$67="Leve"),CONCATENATE("R10C",'Mapa final'!$Q$67),"")</f>
        <v/>
      </c>
      <c r="O25" s="59" t="str">
        <f>IF(AND('Mapa final'!$AA$68="Alta",'Mapa final'!$AC$68="Leve"),CONCATENATE("R10C",'Mapa final'!$Q$68),"")</f>
        <v/>
      </c>
      <c r="P25" s="57" t="str">
        <f>IF(AND('Mapa final'!$AA$63="Alta",'Mapa final'!$AC$63="Menor"),CONCATENATE("R10C",'Mapa final'!$Q$63),"")</f>
        <v/>
      </c>
      <c r="Q25" s="58" t="str">
        <f>IF(AND('Mapa final'!$AA$64="Alta",'Mapa final'!$AC$64="Menor"),CONCATENATE("R10C",'Mapa final'!$Q$64),"")</f>
        <v/>
      </c>
      <c r="R25" s="58" t="str">
        <f>IF(AND('Mapa final'!$AA$65="Alta",'Mapa final'!$AC$65="Menor"),CONCATENATE("R10C",'Mapa final'!$Q$65),"")</f>
        <v/>
      </c>
      <c r="S25" s="58" t="str">
        <f>IF(AND('Mapa final'!$AA$66="Alta",'Mapa final'!$AC$66="Menor"),CONCATENATE("R10C",'Mapa final'!$Q$66),"")</f>
        <v/>
      </c>
      <c r="T25" s="58" t="str">
        <f>IF(AND('Mapa final'!$AA$67="Alta",'Mapa final'!$AC$67="Menor"),CONCATENATE("R10C",'Mapa final'!$Q$67),"")</f>
        <v/>
      </c>
      <c r="U25" s="59" t="str">
        <f>IF(AND('Mapa final'!$AA$68="Alta",'Mapa final'!$AC$68="Menor"),CONCATENATE("R10C",'Mapa final'!$Q$68),"")</f>
        <v/>
      </c>
      <c r="V25" s="45" t="str">
        <f>IF(AND('Mapa final'!$AA$63="Alta",'Mapa final'!$AC$63="Moderado"),CONCATENATE("R10C",'Mapa final'!$Q$63),"")</f>
        <v/>
      </c>
      <c r="W25" s="46" t="str">
        <f>IF(AND('Mapa final'!$AA$64="Alta",'Mapa final'!$AC$64="Moderado"),CONCATENATE("R10C",'Mapa final'!$Q$64),"")</f>
        <v/>
      </c>
      <c r="X25" s="46" t="str">
        <f>IF(AND('Mapa final'!$AA$65="Alta",'Mapa final'!$AC$65="Moderado"),CONCATENATE("R10C",'Mapa final'!$Q$65),"")</f>
        <v/>
      </c>
      <c r="Y25" s="46" t="str">
        <f>IF(AND('Mapa final'!$AA$66="Alta",'Mapa final'!$AC$66="Moderado"),CONCATENATE("R10C",'Mapa final'!$Q$66),"")</f>
        <v/>
      </c>
      <c r="Z25" s="46" t="str">
        <f>IF(AND('Mapa final'!$AA$67="Alta",'Mapa final'!$AC$67="Moderado"),CONCATENATE("R10C",'Mapa final'!$Q$67),"")</f>
        <v/>
      </c>
      <c r="AA25" s="47" t="str">
        <f>IF(AND('Mapa final'!$AA$68="Alta",'Mapa final'!$AC$68="Moderado"),CONCATENATE("R10C",'Mapa final'!$Q$68),"")</f>
        <v/>
      </c>
      <c r="AB25" s="45" t="str">
        <f>IF(AND('Mapa final'!$AA$63="Alta",'Mapa final'!$AC$63="Mayor"),CONCATENATE("R10C",'Mapa final'!$Q$63),"")</f>
        <v/>
      </c>
      <c r="AC25" s="46" t="str">
        <f>IF(AND('Mapa final'!$AA$64="Alta",'Mapa final'!$AC$64="Mayor"),CONCATENATE("R10C",'Mapa final'!$Q$64),"")</f>
        <v/>
      </c>
      <c r="AD25" s="46" t="str">
        <f>IF(AND('Mapa final'!$AA$65="Alta",'Mapa final'!$AC$65="Mayor"),CONCATENATE("R10C",'Mapa final'!$Q$65),"")</f>
        <v/>
      </c>
      <c r="AE25" s="46" t="str">
        <f>IF(AND('Mapa final'!$AA$66="Alta",'Mapa final'!$AC$66="Mayor"),CONCATENATE("R10C",'Mapa final'!$Q$66),"")</f>
        <v/>
      </c>
      <c r="AF25" s="46" t="str">
        <f>IF(AND('Mapa final'!$AA$67="Alta",'Mapa final'!$AC$67="Mayor"),CONCATENATE("R10C",'Mapa final'!$Q$67),"")</f>
        <v/>
      </c>
      <c r="AG25" s="47" t="str">
        <f>IF(AND('Mapa final'!$AA$68="Alta",'Mapa final'!$AC$68="Mayor"),CONCATENATE("R10C",'Mapa final'!$Q$68),"")</f>
        <v/>
      </c>
      <c r="AH25" s="48" t="str">
        <f>IF(AND('Mapa final'!$AA$63="Alta",'Mapa final'!$AC$63="Catastrófico"),CONCATENATE("R10C",'Mapa final'!$Q$63),"")</f>
        <v/>
      </c>
      <c r="AI25" s="49" t="str">
        <f>IF(AND('Mapa final'!$AA$64="Alta",'Mapa final'!$AC$64="Catastrófico"),CONCATENATE("R10C",'Mapa final'!$Q$64),"")</f>
        <v/>
      </c>
      <c r="AJ25" s="49" t="str">
        <f>IF(AND('Mapa final'!$AA$65="Alta",'Mapa final'!$AC$65="Catastrófico"),CONCATENATE("R10C",'Mapa final'!$Q$65),"")</f>
        <v/>
      </c>
      <c r="AK25" s="49" t="str">
        <f>IF(AND('Mapa final'!$AA$66="Alta",'Mapa final'!$AC$66="Catastrófico"),CONCATENATE("R10C",'Mapa final'!$Q$66),"")</f>
        <v/>
      </c>
      <c r="AL25" s="49" t="str">
        <f>IF(AND('Mapa final'!$AA$67="Alta",'Mapa final'!$AC$67="Catastrófico"),CONCATENATE("R10C",'Mapa final'!$Q$67),"")</f>
        <v/>
      </c>
      <c r="AM25" s="50" t="str">
        <f>IF(AND('Mapa final'!$AA$68="Alta",'Mapa final'!$AC$68="Catastrófico"),CONCATENATE("R10C",'Mapa final'!$Q$68),"")</f>
        <v/>
      </c>
      <c r="AN25" s="70"/>
      <c r="AO25" s="334"/>
      <c r="AP25" s="335"/>
      <c r="AQ25" s="335"/>
      <c r="AR25" s="335"/>
      <c r="AS25" s="335"/>
      <c r="AT25" s="336"/>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80"/>
      <c r="C26" s="280"/>
      <c r="D26" s="281"/>
      <c r="E26" s="318" t="s">
        <v>113</v>
      </c>
      <c r="F26" s="319"/>
      <c r="G26" s="319"/>
      <c r="H26" s="319"/>
      <c r="I26" s="320"/>
      <c r="J26" s="51" t="str">
        <f>IF(AND('Mapa final'!$AA$9="Media",'Mapa final'!$AC$9="Leve"),CONCATENATE("R1C",'Mapa final'!$Q$9),"")</f>
        <v/>
      </c>
      <c r="K26" s="52" t="str">
        <f>IF(AND('Mapa final'!$AA$10="Media",'Mapa final'!$AC$10="Leve"),CONCATENATE("R1C",'Mapa final'!$Q$10),"")</f>
        <v/>
      </c>
      <c r="L26" s="52" t="str">
        <f>IF(AND('Mapa final'!$AA$11="Media",'Mapa final'!$AC$11="Leve"),CONCATENATE("R1C",'Mapa final'!$Q$11),"")</f>
        <v/>
      </c>
      <c r="M26" s="52" t="str">
        <f>IF(AND('Mapa final'!$AA$12="Media",'Mapa final'!$AC$12="Leve"),CONCATENATE("R1C",'Mapa final'!$Q$12),"")</f>
        <v/>
      </c>
      <c r="N26" s="52" t="str">
        <f>IF(AND('Mapa final'!$AA$13="Media",'Mapa final'!$AC$13="Leve"),CONCATENATE("R1C",'Mapa final'!$Q$13),"")</f>
        <v/>
      </c>
      <c r="O26" s="53" t="str">
        <f>IF(AND('Mapa final'!$AA$14="Media",'Mapa final'!$AC$14="Leve"),CONCATENATE("R1C",'Mapa final'!$Q$14),"")</f>
        <v/>
      </c>
      <c r="P26" s="51" t="str">
        <f>IF(AND('Mapa final'!$AA$9="Media",'Mapa final'!$AC$9="Menor"),CONCATENATE("R1C",'Mapa final'!$Q$9),"")</f>
        <v/>
      </c>
      <c r="Q26" s="52" t="str">
        <f>IF(AND('Mapa final'!$AA$10="Media",'Mapa final'!$AC$10="Menor"),CONCATENATE("R1C",'Mapa final'!$Q$10),"")</f>
        <v/>
      </c>
      <c r="R26" s="52" t="str">
        <f>IF(AND('Mapa final'!$AA$11="Media",'Mapa final'!$AC$11="Menor"),CONCATENATE("R1C",'Mapa final'!$Q$11),"")</f>
        <v/>
      </c>
      <c r="S26" s="52" t="str">
        <f>IF(AND('Mapa final'!$AA$12="Media",'Mapa final'!$AC$12="Menor"),CONCATENATE("R1C",'Mapa final'!$Q$12),"")</f>
        <v/>
      </c>
      <c r="T26" s="52" t="str">
        <f>IF(AND('Mapa final'!$AA$13="Media",'Mapa final'!$AC$13="Menor"),CONCATENATE("R1C",'Mapa final'!$Q$13),"")</f>
        <v/>
      </c>
      <c r="U26" s="53" t="str">
        <f>IF(AND('Mapa final'!$AA$14="Media",'Mapa final'!$AC$14="Menor"),CONCATENATE("R1C",'Mapa final'!$Q$14),"")</f>
        <v/>
      </c>
      <c r="V26" s="51" t="str">
        <f>IF(AND('Mapa final'!$AA$9="Media",'Mapa final'!$AC$9="Moderado"),CONCATENATE("R1C",'Mapa final'!$Q$9),"")</f>
        <v/>
      </c>
      <c r="W26" s="52" t="str">
        <f>IF(AND('Mapa final'!$AA$10="Media",'Mapa final'!$AC$10="Moderado"),CONCATENATE("R1C",'Mapa final'!$Q$10),"")</f>
        <v/>
      </c>
      <c r="X26" s="52" t="str">
        <f>IF(AND('Mapa final'!$AA$11="Media",'Mapa final'!$AC$11="Moderado"),CONCATENATE("R1C",'Mapa final'!$Q$11),"")</f>
        <v/>
      </c>
      <c r="Y26" s="52" t="str">
        <f>IF(AND('Mapa final'!$AA$12="Media",'Mapa final'!$AC$12="Moderado"),CONCATENATE("R1C",'Mapa final'!$Q$12),"")</f>
        <v/>
      </c>
      <c r="Z26" s="52" t="str">
        <f>IF(AND('Mapa final'!$AA$13="Media",'Mapa final'!$AC$13="Moderado"),CONCATENATE("R1C",'Mapa final'!$Q$13),"")</f>
        <v/>
      </c>
      <c r="AA26" s="53" t="str">
        <f>IF(AND('Mapa final'!$AA$14="Media",'Mapa final'!$AC$14="Moderado"),CONCATENATE("R1C",'Mapa final'!$Q$14),"")</f>
        <v/>
      </c>
      <c r="AB26" s="32" t="str">
        <f>IF(AND('Mapa final'!$AA$9="Media",'Mapa final'!$AC$9="Mayor"),CONCATENATE("R1C",'Mapa final'!$Q$9),"")</f>
        <v/>
      </c>
      <c r="AC26" s="33" t="str">
        <f>IF(AND('Mapa final'!$AA$10="Media",'Mapa final'!$AC$10="Mayor"),CONCATENATE("R1C",'Mapa final'!$Q$10),"")</f>
        <v/>
      </c>
      <c r="AD26" s="33" t="str">
        <f>IF(AND('Mapa final'!$AA$11="Media",'Mapa final'!$AC$11="Mayor"),CONCATENATE("R1C",'Mapa final'!$Q$11),"")</f>
        <v/>
      </c>
      <c r="AE26" s="33" t="str">
        <f>IF(AND('Mapa final'!$AA$12="Media",'Mapa final'!$AC$12="Mayor"),CONCATENATE("R1C",'Mapa final'!$Q$12),"")</f>
        <v/>
      </c>
      <c r="AF26" s="33" t="str">
        <f>IF(AND('Mapa final'!$AA$13="Media",'Mapa final'!$AC$13="Mayor"),CONCATENATE("R1C",'Mapa final'!$Q$13),"")</f>
        <v/>
      </c>
      <c r="AG26" s="34" t="str">
        <f>IF(AND('Mapa final'!$AA$14="Media",'Mapa final'!$AC$14="Mayor"),CONCATENATE("R1C",'Mapa final'!$Q$14),"")</f>
        <v/>
      </c>
      <c r="AH26" s="35" t="str">
        <f>IF(AND('Mapa final'!$AA$9="Media",'Mapa final'!$AC$9="Catastrófico"),CONCATENATE("R1C",'Mapa final'!$Q$9),"")</f>
        <v/>
      </c>
      <c r="AI26" s="36" t="str">
        <f>IF(AND('Mapa final'!$AA$10="Media",'Mapa final'!$AC$10="Catastrófico"),CONCATENATE("R1C",'Mapa final'!$Q$10),"")</f>
        <v/>
      </c>
      <c r="AJ26" s="36" t="str">
        <f>IF(AND('Mapa final'!$AA$11="Media",'Mapa final'!$AC$11="Catastrófico"),CONCATENATE("R1C",'Mapa final'!$Q$11),"")</f>
        <v/>
      </c>
      <c r="AK26" s="36" t="str">
        <f>IF(AND('Mapa final'!$AA$12="Media",'Mapa final'!$AC$12="Catastrófico"),CONCATENATE("R1C",'Mapa final'!$Q$12),"")</f>
        <v/>
      </c>
      <c r="AL26" s="36" t="str">
        <f>IF(AND('Mapa final'!$AA$13="Media",'Mapa final'!$AC$13="Catastrófico"),CONCATENATE("R1C",'Mapa final'!$Q$13),"")</f>
        <v/>
      </c>
      <c r="AM26" s="37" t="str">
        <f>IF(AND('Mapa final'!$AA$14="Media",'Mapa final'!$AC$14="Catastrófico"),CONCATENATE("R1C",'Mapa final'!$Q$14),"")</f>
        <v/>
      </c>
      <c r="AN26" s="70"/>
      <c r="AO26" s="359" t="s">
        <v>77</v>
      </c>
      <c r="AP26" s="360"/>
      <c r="AQ26" s="360"/>
      <c r="AR26" s="360"/>
      <c r="AS26" s="360"/>
      <c r="AT26" s="361"/>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80"/>
      <c r="C27" s="280"/>
      <c r="D27" s="281"/>
      <c r="E27" s="337"/>
      <c r="F27" s="338"/>
      <c r="G27" s="338"/>
      <c r="H27" s="338"/>
      <c r="I27" s="323"/>
      <c r="J27" s="54" t="str">
        <f ca="1">IF(AND('Mapa final'!$AA$15="Media",'Mapa final'!$AC$15="Leve"),CONCATENATE("R2C",'Mapa final'!$Q$15),"")</f>
        <v/>
      </c>
      <c r="K27" s="55" t="str">
        <f>IF(AND('Mapa final'!$AA$16="Media",'Mapa final'!$AC$16="Leve"),CONCATENATE("R2C",'Mapa final'!$Q$16),"")</f>
        <v/>
      </c>
      <c r="L27" s="55" t="str">
        <f>IF(AND('Mapa final'!$AA$17="Media",'Mapa final'!$AC$17="Leve"),CONCATENATE("R2C",'Mapa final'!$Q$17),"")</f>
        <v/>
      </c>
      <c r="M27" s="55" t="str">
        <f>IF(AND('Mapa final'!$AA$18="Media",'Mapa final'!$AC$18="Leve"),CONCATENATE("R2C",'Mapa final'!$Q$18),"")</f>
        <v/>
      </c>
      <c r="N27" s="55" t="str">
        <f>IF(AND('Mapa final'!$AA$19="Media",'Mapa final'!$AC$19="Leve"),CONCATENATE("R2C",'Mapa final'!$Q$19),"")</f>
        <v/>
      </c>
      <c r="O27" s="56" t="str">
        <f>IF(AND('Mapa final'!$AA$20="Media",'Mapa final'!$AC$20="Leve"),CONCATENATE("R2C",'Mapa final'!$Q$20),"")</f>
        <v/>
      </c>
      <c r="P27" s="54" t="str">
        <f ca="1">IF(AND('Mapa final'!$AA$15="Media",'Mapa final'!$AC$15="Menor"),CONCATENATE("R2C",'Mapa final'!$Q$15),"")</f>
        <v/>
      </c>
      <c r="Q27" s="55" t="str">
        <f>IF(AND('Mapa final'!$AA$16="Media",'Mapa final'!$AC$16="Menor"),CONCATENATE("R2C",'Mapa final'!$Q$16),"")</f>
        <v/>
      </c>
      <c r="R27" s="55" t="str">
        <f>IF(AND('Mapa final'!$AA$17="Media",'Mapa final'!$AC$17="Menor"),CONCATENATE("R2C",'Mapa final'!$Q$17),"")</f>
        <v/>
      </c>
      <c r="S27" s="55" t="str">
        <f>IF(AND('Mapa final'!$AA$18="Media",'Mapa final'!$AC$18="Menor"),CONCATENATE("R2C",'Mapa final'!$Q$18),"")</f>
        <v/>
      </c>
      <c r="T27" s="55" t="str">
        <f>IF(AND('Mapa final'!$AA$19="Media",'Mapa final'!$AC$19="Menor"),CONCATENATE("R2C",'Mapa final'!$Q$19),"")</f>
        <v/>
      </c>
      <c r="U27" s="56" t="str">
        <f>IF(AND('Mapa final'!$AA$20="Media",'Mapa final'!$AC$20="Menor"),CONCATENATE("R2C",'Mapa final'!$Q$20),"")</f>
        <v/>
      </c>
      <c r="V27" s="54" t="str">
        <f ca="1">IF(AND('Mapa final'!$AA$15="Media",'Mapa final'!$AC$15="Moderado"),CONCATENATE("R2C",'Mapa final'!$Q$15),"")</f>
        <v/>
      </c>
      <c r="W27" s="55" t="str">
        <f>IF(AND('Mapa final'!$AA$16="Media",'Mapa final'!$AC$16="Moderado"),CONCATENATE("R2C",'Mapa final'!$Q$16),"")</f>
        <v/>
      </c>
      <c r="X27" s="55" t="str">
        <f>IF(AND('Mapa final'!$AA$17="Media",'Mapa final'!$AC$17="Moderado"),CONCATENATE("R2C",'Mapa final'!$Q$17),"")</f>
        <v/>
      </c>
      <c r="Y27" s="55" t="str">
        <f>IF(AND('Mapa final'!$AA$18="Media",'Mapa final'!$AC$18="Moderado"),CONCATENATE("R2C",'Mapa final'!$Q$18),"")</f>
        <v/>
      </c>
      <c r="Z27" s="55" t="str">
        <f>IF(AND('Mapa final'!$AA$19="Media",'Mapa final'!$AC$19="Moderado"),CONCATENATE("R2C",'Mapa final'!$Q$19),"")</f>
        <v/>
      </c>
      <c r="AA27" s="56" t="str">
        <f>IF(AND('Mapa final'!$AA$20="Media",'Mapa final'!$AC$20="Moderado"),CONCATENATE("R2C",'Mapa final'!$Q$20),"")</f>
        <v/>
      </c>
      <c r="AB27" s="38" t="str">
        <f ca="1">IF(AND('Mapa final'!$AA$15="Media",'Mapa final'!$AC$15="Mayor"),CONCATENATE("R2C",'Mapa final'!$Q$15),"")</f>
        <v/>
      </c>
      <c r="AC27" s="39" t="str">
        <f>IF(AND('Mapa final'!$AA$16="Media",'Mapa final'!$AC$16="Mayor"),CONCATENATE("R2C",'Mapa final'!$Q$16),"")</f>
        <v/>
      </c>
      <c r="AD27" s="39" t="str">
        <f>IF(AND('Mapa final'!$AA$17="Media",'Mapa final'!$AC$17="Mayor"),CONCATENATE("R2C",'Mapa final'!$Q$17),"")</f>
        <v/>
      </c>
      <c r="AE27" s="39" t="str">
        <f>IF(AND('Mapa final'!$AA$18="Media",'Mapa final'!$AC$18="Mayor"),CONCATENATE("R2C",'Mapa final'!$Q$18),"")</f>
        <v/>
      </c>
      <c r="AF27" s="39" t="str">
        <f>IF(AND('Mapa final'!$AA$19="Media",'Mapa final'!$AC$19="Mayor"),CONCATENATE("R2C",'Mapa final'!$Q$19),"")</f>
        <v/>
      </c>
      <c r="AG27" s="40" t="str">
        <f>IF(AND('Mapa final'!$AA$20="Media",'Mapa final'!$AC$20="Mayor"),CONCATENATE("R2C",'Mapa final'!$Q$20),"")</f>
        <v/>
      </c>
      <c r="AH27" s="41" t="str">
        <f ca="1">IF(AND('Mapa final'!$AA$15="Media",'Mapa final'!$AC$15="Catastrófico"),CONCATENATE("R2C",'Mapa final'!$Q$15),"")</f>
        <v/>
      </c>
      <c r="AI27" s="42" t="str">
        <f>IF(AND('Mapa final'!$AA$16="Media",'Mapa final'!$AC$16="Catastrófico"),CONCATENATE("R2C",'Mapa final'!$Q$16),"")</f>
        <v/>
      </c>
      <c r="AJ27" s="42" t="str">
        <f>IF(AND('Mapa final'!$AA$17="Media",'Mapa final'!$AC$17="Catastrófico"),CONCATENATE("R2C",'Mapa final'!$Q$17),"")</f>
        <v/>
      </c>
      <c r="AK27" s="42" t="str">
        <f>IF(AND('Mapa final'!$AA$18="Media",'Mapa final'!$AC$18="Catastrófico"),CONCATENATE("R2C",'Mapa final'!$Q$18),"")</f>
        <v/>
      </c>
      <c r="AL27" s="42" t="str">
        <f>IF(AND('Mapa final'!$AA$19="Media",'Mapa final'!$AC$19="Catastrófico"),CONCATENATE("R2C",'Mapa final'!$Q$19),"")</f>
        <v/>
      </c>
      <c r="AM27" s="43" t="str">
        <f>IF(AND('Mapa final'!$AA$20="Media",'Mapa final'!$AC$20="Catastrófico"),CONCATENATE("R2C",'Mapa final'!$Q$20),"")</f>
        <v/>
      </c>
      <c r="AN27" s="70"/>
      <c r="AO27" s="362"/>
      <c r="AP27" s="363"/>
      <c r="AQ27" s="363"/>
      <c r="AR27" s="363"/>
      <c r="AS27" s="363"/>
      <c r="AT27" s="364"/>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80"/>
      <c r="C28" s="280"/>
      <c r="D28" s="281"/>
      <c r="E28" s="321"/>
      <c r="F28" s="322"/>
      <c r="G28" s="322"/>
      <c r="H28" s="322"/>
      <c r="I28" s="323"/>
      <c r="J28" s="54" t="str">
        <f>IF(AND('Mapa final'!$AA$21="Media",'Mapa final'!$AC$21="Leve"),CONCATENATE("R3C",'Mapa final'!$Q$21),"")</f>
        <v/>
      </c>
      <c r="K28" s="55" t="str">
        <f>IF(AND('Mapa final'!$AA$22="Media",'Mapa final'!$AC$22="Leve"),CONCATENATE("R3C",'Mapa final'!$Q$22),"")</f>
        <v/>
      </c>
      <c r="L28" s="55" t="str">
        <f>IF(AND('Mapa final'!$AA$23="Media",'Mapa final'!$AC$23="Leve"),CONCATENATE("R3C",'Mapa final'!$Q$23),"")</f>
        <v/>
      </c>
      <c r="M28" s="55" t="str">
        <f>IF(AND('Mapa final'!$AA$24="Media",'Mapa final'!$AC$24="Leve"),CONCATENATE("R3C",'Mapa final'!$Q$24),"")</f>
        <v/>
      </c>
      <c r="N28" s="55" t="str">
        <f>IF(AND('Mapa final'!$AA$25="Media",'Mapa final'!$AC$25="Leve"),CONCATENATE("R3C",'Mapa final'!$Q$25),"")</f>
        <v/>
      </c>
      <c r="O28" s="56" t="str">
        <f>IF(AND('Mapa final'!$AA$26="Media",'Mapa final'!$AC$26="Leve"),CONCATENATE("R3C",'Mapa final'!$Q$26),"")</f>
        <v/>
      </c>
      <c r="P28" s="54" t="str">
        <f>IF(AND('Mapa final'!$AA$21="Media",'Mapa final'!$AC$21="Menor"),CONCATENATE("R3C",'Mapa final'!$Q$21),"")</f>
        <v/>
      </c>
      <c r="Q28" s="55" t="str">
        <f>IF(AND('Mapa final'!$AA$22="Media",'Mapa final'!$AC$22="Menor"),CONCATENATE("R3C",'Mapa final'!$Q$22),"")</f>
        <v/>
      </c>
      <c r="R28" s="55" t="str">
        <f>IF(AND('Mapa final'!$AA$23="Media",'Mapa final'!$AC$23="Menor"),CONCATENATE("R3C",'Mapa final'!$Q$23),"")</f>
        <v/>
      </c>
      <c r="S28" s="55" t="str">
        <f>IF(AND('Mapa final'!$AA$24="Media",'Mapa final'!$AC$24="Menor"),CONCATENATE("R3C",'Mapa final'!$Q$24),"")</f>
        <v/>
      </c>
      <c r="T28" s="55" t="str">
        <f>IF(AND('Mapa final'!$AA$25="Media",'Mapa final'!$AC$25="Menor"),CONCATENATE("R3C",'Mapa final'!$Q$25),"")</f>
        <v/>
      </c>
      <c r="U28" s="56" t="str">
        <f>IF(AND('Mapa final'!$AA$26="Media",'Mapa final'!$AC$26="Menor"),CONCATENATE("R3C",'Mapa final'!$Q$26),"")</f>
        <v/>
      </c>
      <c r="V28" s="54" t="str">
        <f>IF(AND('Mapa final'!$AA$21="Media",'Mapa final'!$AC$21="Moderado"),CONCATENATE("R3C",'Mapa final'!$Q$21),"")</f>
        <v/>
      </c>
      <c r="W28" s="55" t="str">
        <f>IF(AND('Mapa final'!$AA$22="Media",'Mapa final'!$AC$22="Moderado"),CONCATENATE("R3C",'Mapa final'!$Q$22),"")</f>
        <v/>
      </c>
      <c r="X28" s="55" t="str">
        <f>IF(AND('Mapa final'!$AA$23="Media",'Mapa final'!$AC$23="Moderado"),CONCATENATE("R3C",'Mapa final'!$Q$23),"")</f>
        <v/>
      </c>
      <c r="Y28" s="55" t="str">
        <f>IF(AND('Mapa final'!$AA$24="Media",'Mapa final'!$AC$24="Moderado"),CONCATENATE("R3C",'Mapa final'!$Q$24),"")</f>
        <v/>
      </c>
      <c r="Z28" s="55" t="str">
        <f>IF(AND('Mapa final'!$AA$25="Media",'Mapa final'!$AC$25="Moderado"),CONCATENATE("R3C",'Mapa final'!$Q$25),"")</f>
        <v/>
      </c>
      <c r="AA28" s="56" t="str">
        <f>IF(AND('Mapa final'!$AA$26="Media",'Mapa final'!$AC$26="Moderado"),CONCATENATE("R3C",'Mapa final'!$Q$26),"")</f>
        <v/>
      </c>
      <c r="AB28" s="38" t="str">
        <f>IF(AND('Mapa final'!$AA$21="Media",'Mapa final'!$AC$21="Mayor"),CONCATENATE("R3C",'Mapa final'!$Q$21),"")</f>
        <v/>
      </c>
      <c r="AC28" s="39" t="str">
        <f>IF(AND('Mapa final'!$AA$22="Media",'Mapa final'!$AC$22="Mayor"),CONCATENATE("R3C",'Mapa final'!$Q$22),"")</f>
        <v/>
      </c>
      <c r="AD28" s="39" t="str">
        <f>IF(AND('Mapa final'!$AA$23="Media",'Mapa final'!$AC$23="Mayor"),CONCATENATE("R3C",'Mapa final'!$Q$23),"")</f>
        <v/>
      </c>
      <c r="AE28" s="39" t="str">
        <f>IF(AND('Mapa final'!$AA$24="Media",'Mapa final'!$AC$24="Mayor"),CONCATENATE("R3C",'Mapa final'!$Q$24),"")</f>
        <v/>
      </c>
      <c r="AF28" s="39" t="str">
        <f>IF(AND('Mapa final'!$AA$25="Media",'Mapa final'!$AC$25="Mayor"),CONCATENATE("R3C",'Mapa final'!$Q$25),"")</f>
        <v/>
      </c>
      <c r="AG28" s="40" t="str">
        <f>IF(AND('Mapa final'!$AA$26="Media",'Mapa final'!$AC$26="Mayor"),CONCATENATE("R3C",'Mapa final'!$Q$26),"")</f>
        <v/>
      </c>
      <c r="AH28" s="41" t="str">
        <f>IF(AND('Mapa final'!$AA$21="Media",'Mapa final'!$AC$21="Catastrófico"),CONCATENATE("R3C",'Mapa final'!$Q$21),"")</f>
        <v/>
      </c>
      <c r="AI28" s="42" t="str">
        <f>IF(AND('Mapa final'!$AA$22="Media",'Mapa final'!$AC$22="Catastrófico"),CONCATENATE("R3C",'Mapa final'!$Q$22),"")</f>
        <v/>
      </c>
      <c r="AJ28" s="42" t="str">
        <f>IF(AND('Mapa final'!$AA$23="Media",'Mapa final'!$AC$23="Catastrófico"),CONCATENATE("R3C",'Mapa final'!$Q$23),"")</f>
        <v/>
      </c>
      <c r="AK28" s="42" t="str">
        <f>IF(AND('Mapa final'!$AA$24="Media",'Mapa final'!$AC$24="Catastrófico"),CONCATENATE("R3C",'Mapa final'!$Q$24),"")</f>
        <v/>
      </c>
      <c r="AL28" s="42" t="str">
        <f>IF(AND('Mapa final'!$AA$25="Media",'Mapa final'!$AC$25="Catastrófico"),CONCATENATE("R3C",'Mapa final'!$Q$25),"")</f>
        <v/>
      </c>
      <c r="AM28" s="43" t="str">
        <f>IF(AND('Mapa final'!$AA$26="Media",'Mapa final'!$AC$26="Catastrófico"),CONCATENATE("R3C",'Mapa final'!$Q$26),"")</f>
        <v/>
      </c>
      <c r="AN28" s="70"/>
      <c r="AO28" s="362"/>
      <c r="AP28" s="363"/>
      <c r="AQ28" s="363"/>
      <c r="AR28" s="363"/>
      <c r="AS28" s="363"/>
      <c r="AT28" s="364"/>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80"/>
      <c r="C29" s="280"/>
      <c r="D29" s="281"/>
      <c r="E29" s="321"/>
      <c r="F29" s="322"/>
      <c r="G29" s="322"/>
      <c r="H29" s="322"/>
      <c r="I29" s="323"/>
      <c r="J29" s="54" t="str">
        <f>IF(AND('Mapa final'!$AA$27="Media",'Mapa final'!$AC$27="Leve"),CONCATENATE("R4C",'Mapa final'!$Q$27),"")</f>
        <v/>
      </c>
      <c r="K29" s="55" t="str">
        <f>IF(AND('Mapa final'!$AA$28="Media",'Mapa final'!$AC$28="Leve"),CONCATENATE("R4C",'Mapa final'!$Q$28),"")</f>
        <v/>
      </c>
      <c r="L29" s="55" t="str">
        <f>IF(AND('Mapa final'!$AA$29="Media",'Mapa final'!$AC$29="Leve"),CONCATENATE("R4C",'Mapa final'!$Q$29),"")</f>
        <v/>
      </c>
      <c r="M29" s="55" t="str">
        <f>IF(AND('Mapa final'!$AA$30="Media",'Mapa final'!$AC$30="Leve"),CONCATENATE("R4C",'Mapa final'!$Q$30),"")</f>
        <v/>
      </c>
      <c r="N29" s="55" t="str">
        <f>IF(AND('Mapa final'!$AA$31="Media",'Mapa final'!$AC$31="Leve"),CONCATENATE("R4C",'Mapa final'!$Q$31),"")</f>
        <v/>
      </c>
      <c r="O29" s="56" t="str">
        <f>IF(AND('Mapa final'!$AA$32="Media",'Mapa final'!$AC$32="Leve"),CONCATENATE("R4C",'Mapa final'!$Q$32),"")</f>
        <v/>
      </c>
      <c r="P29" s="54" t="str">
        <f>IF(AND('Mapa final'!$AA$27="Media",'Mapa final'!$AC$27="Menor"),CONCATENATE("R4C",'Mapa final'!$Q$27),"")</f>
        <v/>
      </c>
      <c r="Q29" s="55" t="str">
        <f>IF(AND('Mapa final'!$AA$28="Media",'Mapa final'!$AC$28="Menor"),CONCATENATE("R4C",'Mapa final'!$Q$28),"")</f>
        <v/>
      </c>
      <c r="R29" s="55" t="str">
        <f>IF(AND('Mapa final'!$AA$29="Media",'Mapa final'!$AC$29="Menor"),CONCATENATE("R4C",'Mapa final'!$Q$29),"")</f>
        <v/>
      </c>
      <c r="S29" s="55" t="str">
        <f>IF(AND('Mapa final'!$AA$30="Media",'Mapa final'!$AC$30="Menor"),CONCATENATE("R4C",'Mapa final'!$Q$30),"")</f>
        <v/>
      </c>
      <c r="T29" s="55" t="str">
        <f>IF(AND('Mapa final'!$AA$31="Media",'Mapa final'!$AC$31="Menor"),CONCATENATE("R4C",'Mapa final'!$Q$31),"")</f>
        <v/>
      </c>
      <c r="U29" s="56" t="str">
        <f>IF(AND('Mapa final'!$AA$32="Media",'Mapa final'!$AC$32="Menor"),CONCATENATE("R4C",'Mapa final'!$Q$32),"")</f>
        <v/>
      </c>
      <c r="V29" s="54" t="str">
        <f>IF(AND('Mapa final'!$AA$27="Media",'Mapa final'!$AC$27="Moderado"),CONCATENATE("R4C",'Mapa final'!$Q$27),"")</f>
        <v/>
      </c>
      <c r="W29" s="55" t="str">
        <f>IF(AND('Mapa final'!$AA$28="Media",'Mapa final'!$AC$28="Moderado"),CONCATENATE("R4C",'Mapa final'!$Q$28),"")</f>
        <v/>
      </c>
      <c r="X29" s="55" t="str">
        <f>IF(AND('Mapa final'!$AA$29="Media",'Mapa final'!$AC$29="Moderado"),CONCATENATE("R4C",'Mapa final'!$Q$29),"")</f>
        <v/>
      </c>
      <c r="Y29" s="55" t="str">
        <f>IF(AND('Mapa final'!$AA$30="Media",'Mapa final'!$AC$30="Moderado"),CONCATENATE("R4C",'Mapa final'!$Q$30),"")</f>
        <v/>
      </c>
      <c r="Z29" s="55" t="str">
        <f>IF(AND('Mapa final'!$AA$31="Media",'Mapa final'!$AC$31="Moderado"),CONCATENATE("R4C",'Mapa final'!$Q$31),"")</f>
        <v/>
      </c>
      <c r="AA29" s="56" t="str">
        <f>IF(AND('Mapa final'!$AA$32="Media",'Mapa final'!$AC$32="Moderado"),CONCATENATE("R4C",'Mapa final'!$Q$32),"")</f>
        <v/>
      </c>
      <c r="AB29" s="38" t="str">
        <f>IF(AND('Mapa final'!$AA$27="Media",'Mapa final'!$AC$27="Mayor"),CONCATENATE("R4C",'Mapa final'!$Q$27),"")</f>
        <v/>
      </c>
      <c r="AC29" s="39" t="str">
        <f>IF(AND('Mapa final'!$AA$28="Media",'Mapa final'!$AC$28="Mayor"),CONCATENATE("R4C",'Mapa final'!$Q$28),"")</f>
        <v/>
      </c>
      <c r="AD29" s="44" t="str">
        <f>IF(AND('Mapa final'!$AA$29="Media",'Mapa final'!$AC$29="Mayor"),CONCATENATE("R4C",'Mapa final'!$Q$29),"")</f>
        <v/>
      </c>
      <c r="AE29" s="44" t="str">
        <f>IF(AND('Mapa final'!$AA$30="Media",'Mapa final'!$AC$30="Mayor"),CONCATENATE("R4C",'Mapa final'!$Q$30),"")</f>
        <v/>
      </c>
      <c r="AF29" s="44" t="str">
        <f>IF(AND('Mapa final'!$AA$31="Media",'Mapa final'!$AC$31="Mayor"),CONCATENATE("R4C",'Mapa final'!$Q$31),"")</f>
        <v/>
      </c>
      <c r="AG29" s="40" t="str">
        <f>IF(AND('Mapa final'!$AA$32="Media",'Mapa final'!$AC$32="Mayor"),CONCATENATE("R4C",'Mapa final'!$Q$32),"")</f>
        <v/>
      </c>
      <c r="AH29" s="41" t="str">
        <f>IF(AND('Mapa final'!$AA$27="Media",'Mapa final'!$AC$27="Catastrófico"),CONCATENATE("R4C",'Mapa final'!$Q$27),"")</f>
        <v/>
      </c>
      <c r="AI29" s="42" t="str">
        <f>IF(AND('Mapa final'!$AA$28="Media",'Mapa final'!$AC$28="Catastrófico"),CONCATENATE("R4C",'Mapa final'!$Q$28),"")</f>
        <v/>
      </c>
      <c r="AJ29" s="42" t="str">
        <f>IF(AND('Mapa final'!$AA$29="Media",'Mapa final'!$AC$29="Catastrófico"),CONCATENATE("R4C",'Mapa final'!$Q$29),"")</f>
        <v/>
      </c>
      <c r="AK29" s="42" t="str">
        <f>IF(AND('Mapa final'!$AA$30="Media",'Mapa final'!$AC$30="Catastrófico"),CONCATENATE("R4C",'Mapa final'!$Q$30),"")</f>
        <v/>
      </c>
      <c r="AL29" s="42" t="str">
        <f>IF(AND('Mapa final'!$AA$31="Media",'Mapa final'!$AC$31="Catastrófico"),CONCATENATE("R4C",'Mapa final'!$Q$31),"")</f>
        <v/>
      </c>
      <c r="AM29" s="43" t="str">
        <f>IF(AND('Mapa final'!$AA$32="Media",'Mapa final'!$AC$32="Catastrófico"),CONCATENATE("R4C",'Mapa final'!$Q$32),"")</f>
        <v/>
      </c>
      <c r="AN29" s="70"/>
      <c r="AO29" s="362"/>
      <c r="AP29" s="363"/>
      <c r="AQ29" s="363"/>
      <c r="AR29" s="363"/>
      <c r="AS29" s="363"/>
      <c r="AT29" s="364"/>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80"/>
      <c r="C30" s="280"/>
      <c r="D30" s="281"/>
      <c r="E30" s="321"/>
      <c r="F30" s="322"/>
      <c r="G30" s="322"/>
      <c r="H30" s="322"/>
      <c r="I30" s="323"/>
      <c r="J30" s="54" t="str">
        <f>IF(AND('Mapa final'!$AA$33="Media",'Mapa final'!$AC$33="Leve"),CONCATENATE("R5C",'Mapa final'!$Q$33),"")</f>
        <v/>
      </c>
      <c r="K30" s="55" t="str">
        <f>IF(AND('Mapa final'!$AA$34="Media",'Mapa final'!$AC$34="Leve"),CONCATENATE("R5C",'Mapa final'!$Q$34),"")</f>
        <v/>
      </c>
      <c r="L30" s="55" t="str">
        <f>IF(AND('Mapa final'!$AA$35="Media",'Mapa final'!$AC$35="Leve"),CONCATENATE("R5C",'Mapa final'!$Q$35),"")</f>
        <v/>
      </c>
      <c r="M30" s="55" t="str">
        <f>IF(AND('Mapa final'!$AA$36="Media",'Mapa final'!$AC$36="Leve"),CONCATENATE("R5C",'Mapa final'!$Q$36),"")</f>
        <v/>
      </c>
      <c r="N30" s="55" t="str">
        <f>IF(AND('Mapa final'!$AA$37="Media",'Mapa final'!$AC$37="Leve"),CONCATENATE("R5C",'Mapa final'!$Q$37),"")</f>
        <v/>
      </c>
      <c r="O30" s="56" t="str">
        <f>IF(AND('Mapa final'!$AA$38="Media",'Mapa final'!$AC$38="Leve"),CONCATENATE("R5C",'Mapa final'!$Q$38),"")</f>
        <v/>
      </c>
      <c r="P30" s="54" t="str">
        <f>IF(AND('Mapa final'!$AA$33="Media",'Mapa final'!$AC$33="Menor"),CONCATENATE("R5C",'Mapa final'!$Q$33),"")</f>
        <v/>
      </c>
      <c r="Q30" s="55" t="str">
        <f>IF(AND('Mapa final'!$AA$34="Media",'Mapa final'!$AC$34="Menor"),CONCATENATE("R5C",'Mapa final'!$Q$34),"")</f>
        <v/>
      </c>
      <c r="R30" s="55" t="str">
        <f>IF(AND('Mapa final'!$AA$35="Media",'Mapa final'!$AC$35="Menor"),CONCATENATE("R5C",'Mapa final'!$Q$35),"")</f>
        <v/>
      </c>
      <c r="S30" s="55" t="str">
        <f>IF(AND('Mapa final'!$AA$36="Media",'Mapa final'!$AC$36="Menor"),CONCATENATE("R5C",'Mapa final'!$Q$36),"")</f>
        <v/>
      </c>
      <c r="T30" s="55" t="str">
        <f>IF(AND('Mapa final'!$AA$37="Media",'Mapa final'!$AC$37="Menor"),CONCATENATE("R5C",'Mapa final'!$Q$37),"")</f>
        <v/>
      </c>
      <c r="U30" s="56" t="str">
        <f>IF(AND('Mapa final'!$AA$38="Media",'Mapa final'!$AC$38="Menor"),CONCATENATE("R5C",'Mapa final'!$Q$38),"")</f>
        <v/>
      </c>
      <c r="V30" s="54" t="str">
        <f>IF(AND('Mapa final'!$AA$33="Media",'Mapa final'!$AC$33="Moderado"),CONCATENATE("R5C",'Mapa final'!$Q$33),"")</f>
        <v/>
      </c>
      <c r="W30" s="55" t="str">
        <f>IF(AND('Mapa final'!$AA$34="Media",'Mapa final'!$AC$34="Moderado"),CONCATENATE("R5C",'Mapa final'!$Q$34),"")</f>
        <v/>
      </c>
      <c r="X30" s="55" t="str">
        <f>IF(AND('Mapa final'!$AA$35="Media",'Mapa final'!$AC$35="Moderado"),CONCATENATE("R5C",'Mapa final'!$Q$35),"")</f>
        <v/>
      </c>
      <c r="Y30" s="55" t="str">
        <f>IF(AND('Mapa final'!$AA$36="Media",'Mapa final'!$AC$36="Moderado"),CONCATENATE("R5C",'Mapa final'!$Q$36),"")</f>
        <v/>
      </c>
      <c r="Z30" s="55" t="str">
        <f>IF(AND('Mapa final'!$AA$37="Media",'Mapa final'!$AC$37="Moderado"),CONCATENATE("R5C",'Mapa final'!$Q$37),"")</f>
        <v/>
      </c>
      <c r="AA30" s="56" t="str">
        <f>IF(AND('Mapa final'!$AA$38="Media",'Mapa final'!$AC$38="Moderado"),CONCATENATE("R5C",'Mapa final'!$Q$38),"")</f>
        <v/>
      </c>
      <c r="AB30" s="38" t="str">
        <f>IF(AND('Mapa final'!$AA$33="Media",'Mapa final'!$AC$33="Mayor"),CONCATENATE("R5C",'Mapa final'!$Q$33),"")</f>
        <v/>
      </c>
      <c r="AC30" s="39" t="str">
        <f>IF(AND('Mapa final'!$AA$34="Media",'Mapa final'!$AC$34="Mayor"),CONCATENATE("R5C",'Mapa final'!$Q$34),"")</f>
        <v/>
      </c>
      <c r="AD30" s="44" t="str">
        <f>IF(AND('Mapa final'!$AA$35="Media",'Mapa final'!$AC$35="Mayor"),CONCATENATE("R5C",'Mapa final'!$Q$35),"")</f>
        <v/>
      </c>
      <c r="AE30" s="44" t="str">
        <f>IF(AND('Mapa final'!$AA$36="Media",'Mapa final'!$AC$36="Mayor"),CONCATENATE("R5C",'Mapa final'!$Q$36),"")</f>
        <v/>
      </c>
      <c r="AF30" s="44" t="str">
        <f>IF(AND('Mapa final'!$AA$37="Media",'Mapa final'!$AC$37="Mayor"),CONCATENATE("R5C",'Mapa final'!$Q$37),"")</f>
        <v/>
      </c>
      <c r="AG30" s="40" t="str">
        <f>IF(AND('Mapa final'!$AA$38="Media",'Mapa final'!$AC$38="Mayor"),CONCATENATE("R5C",'Mapa final'!$Q$38),"")</f>
        <v/>
      </c>
      <c r="AH30" s="41" t="str">
        <f>IF(AND('Mapa final'!$AA$33="Media",'Mapa final'!$AC$33="Catastrófico"),CONCATENATE("R5C",'Mapa final'!$Q$33),"")</f>
        <v/>
      </c>
      <c r="AI30" s="42" t="str">
        <f>IF(AND('Mapa final'!$AA$34="Media",'Mapa final'!$AC$34="Catastrófico"),CONCATENATE("R5C",'Mapa final'!$Q$34),"")</f>
        <v/>
      </c>
      <c r="AJ30" s="42" t="str">
        <f>IF(AND('Mapa final'!$AA$35="Media",'Mapa final'!$AC$35="Catastrófico"),CONCATENATE("R5C",'Mapa final'!$Q$35),"")</f>
        <v/>
      </c>
      <c r="AK30" s="42" t="str">
        <f>IF(AND('Mapa final'!$AA$36="Media",'Mapa final'!$AC$36="Catastrófico"),CONCATENATE("R5C",'Mapa final'!$Q$36),"")</f>
        <v/>
      </c>
      <c r="AL30" s="42" t="str">
        <f>IF(AND('Mapa final'!$AA$37="Media",'Mapa final'!$AC$37="Catastrófico"),CONCATENATE("R5C",'Mapa final'!$Q$37),"")</f>
        <v/>
      </c>
      <c r="AM30" s="43" t="str">
        <f>IF(AND('Mapa final'!$AA$38="Media",'Mapa final'!$AC$38="Catastrófico"),CONCATENATE("R5C",'Mapa final'!$Q$38),"")</f>
        <v/>
      </c>
      <c r="AN30" s="70"/>
      <c r="AO30" s="362"/>
      <c r="AP30" s="363"/>
      <c r="AQ30" s="363"/>
      <c r="AR30" s="363"/>
      <c r="AS30" s="363"/>
      <c r="AT30" s="364"/>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80"/>
      <c r="C31" s="280"/>
      <c r="D31" s="281"/>
      <c r="E31" s="321"/>
      <c r="F31" s="322"/>
      <c r="G31" s="322"/>
      <c r="H31" s="322"/>
      <c r="I31" s="323"/>
      <c r="J31" s="54" t="str">
        <f>IF(AND('Mapa final'!$AA$39="Media",'Mapa final'!$AC$39="Leve"),CONCATENATE("R6C",'Mapa final'!$Q$39),"")</f>
        <v/>
      </c>
      <c r="K31" s="55" t="str">
        <f>IF(AND('Mapa final'!$AA$40="Media",'Mapa final'!$AC$40="Leve"),CONCATENATE("R6C",'Mapa final'!$Q$40),"")</f>
        <v/>
      </c>
      <c r="L31" s="55" t="str">
        <f>IF(AND('Mapa final'!$AA$41="Media",'Mapa final'!$AC$41="Leve"),CONCATENATE("R6C",'Mapa final'!$Q$41),"")</f>
        <v/>
      </c>
      <c r="M31" s="55" t="str">
        <f>IF(AND('Mapa final'!$AA$42="Media",'Mapa final'!$AC$42="Leve"),CONCATENATE("R6C",'Mapa final'!$Q$42),"")</f>
        <v/>
      </c>
      <c r="N31" s="55" t="str">
        <f>IF(AND('Mapa final'!$AA$43="Media",'Mapa final'!$AC$43="Leve"),CONCATENATE("R6C",'Mapa final'!$Q$43),"")</f>
        <v/>
      </c>
      <c r="O31" s="56" t="str">
        <f>IF(AND('Mapa final'!$AA$44="Media",'Mapa final'!$AC$44="Leve"),CONCATENATE("R6C",'Mapa final'!$Q$44),"")</f>
        <v/>
      </c>
      <c r="P31" s="54" t="str">
        <f>IF(AND('Mapa final'!$AA$39="Media",'Mapa final'!$AC$39="Menor"),CONCATENATE("R6C",'Mapa final'!$Q$39),"")</f>
        <v/>
      </c>
      <c r="Q31" s="55" t="str">
        <f>IF(AND('Mapa final'!$AA$40="Media",'Mapa final'!$AC$40="Menor"),CONCATENATE("R6C",'Mapa final'!$Q$40),"")</f>
        <v/>
      </c>
      <c r="R31" s="55" t="str">
        <f>IF(AND('Mapa final'!$AA$41="Media",'Mapa final'!$AC$41="Menor"),CONCATENATE("R6C",'Mapa final'!$Q$41),"")</f>
        <v/>
      </c>
      <c r="S31" s="55" t="str">
        <f>IF(AND('Mapa final'!$AA$42="Media",'Mapa final'!$AC$42="Menor"),CONCATENATE("R6C",'Mapa final'!$Q$42),"")</f>
        <v/>
      </c>
      <c r="T31" s="55" t="str">
        <f>IF(AND('Mapa final'!$AA$43="Media",'Mapa final'!$AC$43="Menor"),CONCATENATE("R6C",'Mapa final'!$Q$43),"")</f>
        <v/>
      </c>
      <c r="U31" s="56" t="str">
        <f>IF(AND('Mapa final'!$AA$44="Media",'Mapa final'!$AC$44="Menor"),CONCATENATE("R6C",'Mapa final'!$Q$44),"")</f>
        <v/>
      </c>
      <c r="V31" s="54" t="str">
        <f>IF(AND('Mapa final'!$AA$39="Media",'Mapa final'!$AC$39="Moderado"),CONCATENATE("R6C",'Mapa final'!$Q$39),"")</f>
        <v/>
      </c>
      <c r="W31" s="55" t="str">
        <f>IF(AND('Mapa final'!$AA$40="Media",'Mapa final'!$AC$40="Moderado"),CONCATENATE("R6C",'Mapa final'!$Q$40),"")</f>
        <v/>
      </c>
      <c r="X31" s="55" t="str">
        <f>IF(AND('Mapa final'!$AA$41="Media",'Mapa final'!$AC$41="Moderado"),CONCATENATE("R6C",'Mapa final'!$Q$41),"")</f>
        <v/>
      </c>
      <c r="Y31" s="55" t="str">
        <f>IF(AND('Mapa final'!$AA$42="Media",'Mapa final'!$AC$42="Moderado"),CONCATENATE("R6C",'Mapa final'!$Q$42),"")</f>
        <v/>
      </c>
      <c r="Z31" s="55" t="str">
        <f>IF(AND('Mapa final'!$AA$43="Media",'Mapa final'!$AC$43="Moderado"),CONCATENATE("R6C",'Mapa final'!$Q$43),"")</f>
        <v/>
      </c>
      <c r="AA31" s="56" t="str">
        <f>IF(AND('Mapa final'!$AA$44="Media",'Mapa final'!$AC$44="Moderado"),CONCATENATE("R6C",'Mapa final'!$Q$44),"")</f>
        <v/>
      </c>
      <c r="AB31" s="38" t="str">
        <f>IF(AND('Mapa final'!$AA$39="Media",'Mapa final'!$AC$39="Mayor"),CONCATENATE("R6C",'Mapa final'!$Q$39),"")</f>
        <v/>
      </c>
      <c r="AC31" s="39" t="str">
        <f>IF(AND('Mapa final'!$AA$40="Media",'Mapa final'!$AC$40="Mayor"),CONCATENATE("R6C",'Mapa final'!$Q$40),"")</f>
        <v/>
      </c>
      <c r="AD31" s="44" t="str">
        <f>IF(AND('Mapa final'!$AA$41="Media",'Mapa final'!$AC$41="Mayor"),CONCATENATE("R6C",'Mapa final'!$Q$41),"")</f>
        <v/>
      </c>
      <c r="AE31" s="44" t="str">
        <f>IF(AND('Mapa final'!$AA$42="Media",'Mapa final'!$AC$42="Mayor"),CONCATENATE("R6C",'Mapa final'!$Q$42),"")</f>
        <v/>
      </c>
      <c r="AF31" s="44" t="str">
        <f>IF(AND('Mapa final'!$AA$43="Media",'Mapa final'!$AC$43="Mayor"),CONCATENATE("R6C",'Mapa final'!$Q$43),"")</f>
        <v/>
      </c>
      <c r="AG31" s="40" t="str">
        <f>IF(AND('Mapa final'!$AA$44="Media",'Mapa final'!$AC$44="Mayor"),CONCATENATE("R6C",'Mapa final'!$Q$44),"")</f>
        <v/>
      </c>
      <c r="AH31" s="41" t="str">
        <f>IF(AND('Mapa final'!$AA$39="Media",'Mapa final'!$AC$39="Catastrófico"),CONCATENATE("R6C",'Mapa final'!$Q$39),"")</f>
        <v/>
      </c>
      <c r="AI31" s="42" t="str">
        <f>IF(AND('Mapa final'!$AA$40="Media",'Mapa final'!$AC$40="Catastrófico"),CONCATENATE("R6C",'Mapa final'!$Q$40),"")</f>
        <v/>
      </c>
      <c r="AJ31" s="42" t="str">
        <f>IF(AND('Mapa final'!$AA$41="Media",'Mapa final'!$AC$41="Catastrófico"),CONCATENATE("R6C",'Mapa final'!$Q$41),"")</f>
        <v/>
      </c>
      <c r="AK31" s="42" t="str">
        <f>IF(AND('Mapa final'!$AA$42="Media",'Mapa final'!$AC$42="Catastrófico"),CONCATENATE("R6C",'Mapa final'!$Q$42),"")</f>
        <v/>
      </c>
      <c r="AL31" s="42" t="str">
        <f>IF(AND('Mapa final'!$AA$43="Media",'Mapa final'!$AC$43="Catastrófico"),CONCATENATE("R6C",'Mapa final'!$Q$43),"")</f>
        <v/>
      </c>
      <c r="AM31" s="43" t="str">
        <f>IF(AND('Mapa final'!$AA$44="Media",'Mapa final'!$AC$44="Catastrófico"),CONCATENATE("R6C",'Mapa final'!$Q$44),"")</f>
        <v/>
      </c>
      <c r="AN31" s="70"/>
      <c r="AO31" s="362"/>
      <c r="AP31" s="363"/>
      <c r="AQ31" s="363"/>
      <c r="AR31" s="363"/>
      <c r="AS31" s="363"/>
      <c r="AT31" s="364"/>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80"/>
      <c r="C32" s="280"/>
      <c r="D32" s="281"/>
      <c r="E32" s="321"/>
      <c r="F32" s="322"/>
      <c r="G32" s="322"/>
      <c r="H32" s="322"/>
      <c r="I32" s="323"/>
      <c r="J32" s="54" t="str">
        <f>IF(AND('Mapa final'!$AA$45="Media",'Mapa final'!$AC$45="Leve"),CONCATENATE("R7C",'Mapa final'!$Q$45),"")</f>
        <v/>
      </c>
      <c r="K32" s="55" t="str">
        <f>IF(AND('Mapa final'!$AA$46="Media",'Mapa final'!$AC$46="Leve"),CONCATENATE("R7C",'Mapa final'!$Q$46),"")</f>
        <v/>
      </c>
      <c r="L32" s="55" t="str">
        <f>IF(AND('Mapa final'!$AA$47="Media",'Mapa final'!$AC$47="Leve"),CONCATENATE("R7C",'Mapa final'!$Q$47),"")</f>
        <v/>
      </c>
      <c r="M32" s="55" t="str">
        <f>IF(AND('Mapa final'!$AA$48="Media",'Mapa final'!$AC$48="Leve"),CONCATENATE("R7C",'Mapa final'!$Q$48),"")</f>
        <v/>
      </c>
      <c r="N32" s="55" t="str">
        <f>IF(AND('Mapa final'!$AA$49="Media",'Mapa final'!$AC$49="Leve"),CONCATENATE("R7C",'Mapa final'!$Q$49),"")</f>
        <v/>
      </c>
      <c r="O32" s="56" t="str">
        <f>IF(AND('Mapa final'!$AA$50="Media",'Mapa final'!$AC$50="Leve"),CONCATENATE("R7C",'Mapa final'!$Q$50),"")</f>
        <v/>
      </c>
      <c r="P32" s="54" t="str">
        <f>IF(AND('Mapa final'!$AA$45="Media",'Mapa final'!$AC$45="Menor"),CONCATENATE("R7C",'Mapa final'!$Q$45),"")</f>
        <v/>
      </c>
      <c r="Q32" s="55" t="str">
        <f>IF(AND('Mapa final'!$AA$46="Media",'Mapa final'!$AC$46="Menor"),CONCATENATE("R7C",'Mapa final'!$Q$46),"")</f>
        <v/>
      </c>
      <c r="R32" s="55" t="str">
        <f>IF(AND('Mapa final'!$AA$47="Media",'Mapa final'!$AC$47="Menor"),CONCATENATE("R7C",'Mapa final'!$Q$47),"")</f>
        <v/>
      </c>
      <c r="S32" s="55" t="str">
        <f>IF(AND('Mapa final'!$AA$48="Media",'Mapa final'!$AC$48="Menor"),CONCATENATE("R7C",'Mapa final'!$Q$48),"")</f>
        <v/>
      </c>
      <c r="T32" s="55" t="str">
        <f>IF(AND('Mapa final'!$AA$49="Media",'Mapa final'!$AC$49="Menor"),CONCATENATE("R7C",'Mapa final'!$Q$49),"")</f>
        <v/>
      </c>
      <c r="U32" s="56" t="str">
        <f>IF(AND('Mapa final'!$AA$50="Media",'Mapa final'!$AC$50="Menor"),CONCATENATE("R7C",'Mapa final'!$Q$50),"")</f>
        <v/>
      </c>
      <c r="V32" s="54" t="str">
        <f>IF(AND('Mapa final'!$AA$45="Media",'Mapa final'!$AC$45="Moderado"),CONCATENATE("R7C",'Mapa final'!$Q$45),"")</f>
        <v/>
      </c>
      <c r="W32" s="55" t="str">
        <f>IF(AND('Mapa final'!$AA$46="Media",'Mapa final'!$AC$46="Moderado"),CONCATENATE("R7C",'Mapa final'!$Q$46),"")</f>
        <v/>
      </c>
      <c r="X32" s="55" t="str">
        <f>IF(AND('Mapa final'!$AA$47="Media",'Mapa final'!$AC$47="Moderado"),CONCATENATE("R7C",'Mapa final'!$Q$47),"")</f>
        <v/>
      </c>
      <c r="Y32" s="55" t="str">
        <f>IF(AND('Mapa final'!$AA$48="Media",'Mapa final'!$AC$48="Moderado"),CONCATENATE("R7C",'Mapa final'!$Q$48),"")</f>
        <v/>
      </c>
      <c r="Z32" s="55" t="str">
        <f>IF(AND('Mapa final'!$AA$49="Media",'Mapa final'!$AC$49="Moderado"),CONCATENATE("R7C",'Mapa final'!$Q$49),"")</f>
        <v/>
      </c>
      <c r="AA32" s="56" t="str">
        <f>IF(AND('Mapa final'!$AA$50="Media",'Mapa final'!$AC$50="Moderado"),CONCATENATE("R7C",'Mapa final'!$Q$50),"")</f>
        <v/>
      </c>
      <c r="AB32" s="38" t="str">
        <f>IF(AND('Mapa final'!$AA$45="Media",'Mapa final'!$AC$45="Mayor"),CONCATENATE("R7C",'Mapa final'!$Q$45),"")</f>
        <v/>
      </c>
      <c r="AC32" s="39" t="str">
        <f>IF(AND('Mapa final'!$AA$46="Media",'Mapa final'!$AC$46="Mayor"),CONCATENATE("R7C",'Mapa final'!$Q$46),"")</f>
        <v/>
      </c>
      <c r="AD32" s="44" t="str">
        <f>IF(AND('Mapa final'!$AA$47="Media",'Mapa final'!$AC$47="Mayor"),CONCATENATE("R7C",'Mapa final'!$Q$47),"")</f>
        <v/>
      </c>
      <c r="AE32" s="44" t="str">
        <f>IF(AND('Mapa final'!$AA$48="Media",'Mapa final'!$AC$48="Mayor"),CONCATENATE("R7C",'Mapa final'!$Q$48),"")</f>
        <v/>
      </c>
      <c r="AF32" s="44" t="str">
        <f>IF(AND('Mapa final'!$AA$49="Media",'Mapa final'!$AC$49="Mayor"),CONCATENATE("R7C",'Mapa final'!$Q$49),"")</f>
        <v/>
      </c>
      <c r="AG32" s="40" t="str">
        <f>IF(AND('Mapa final'!$AA$50="Media",'Mapa final'!$AC$50="Mayor"),CONCATENATE("R7C",'Mapa final'!$Q$50),"")</f>
        <v/>
      </c>
      <c r="AH32" s="41" t="str">
        <f>IF(AND('Mapa final'!$AA$45="Media",'Mapa final'!$AC$45="Catastrófico"),CONCATENATE("R7C",'Mapa final'!$Q$45),"")</f>
        <v/>
      </c>
      <c r="AI32" s="42" t="str">
        <f>IF(AND('Mapa final'!$AA$46="Media",'Mapa final'!$AC$46="Catastrófico"),CONCATENATE("R7C",'Mapa final'!$Q$46),"")</f>
        <v/>
      </c>
      <c r="AJ32" s="42" t="str">
        <f>IF(AND('Mapa final'!$AA$47="Media",'Mapa final'!$AC$47="Catastrófico"),CONCATENATE("R7C",'Mapa final'!$Q$47),"")</f>
        <v/>
      </c>
      <c r="AK32" s="42" t="str">
        <f>IF(AND('Mapa final'!$AA$48="Media",'Mapa final'!$AC$48="Catastrófico"),CONCATENATE("R7C",'Mapa final'!$Q$48),"")</f>
        <v/>
      </c>
      <c r="AL32" s="42" t="str">
        <f>IF(AND('Mapa final'!$AA$49="Media",'Mapa final'!$AC$49="Catastrófico"),CONCATENATE("R7C",'Mapa final'!$Q$49),"")</f>
        <v/>
      </c>
      <c r="AM32" s="43" t="str">
        <f>IF(AND('Mapa final'!$AA$50="Media",'Mapa final'!$AC$50="Catastrófico"),CONCATENATE("R7C",'Mapa final'!$Q$50),"")</f>
        <v/>
      </c>
      <c r="AN32" s="70"/>
      <c r="AO32" s="362"/>
      <c r="AP32" s="363"/>
      <c r="AQ32" s="363"/>
      <c r="AR32" s="363"/>
      <c r="AS32" s="363"/>
      <c r="AT32" s="364"/>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80"/>
      <c r="C33" s="280"/>
      <c r="D33" s="281"/>
      <c r="E33" s="321"/>
      <c r="F33" s="322"/>
      <c r="G33" s="322"/>
      <c r="H33" s="322"/>
      <c r="I33" s="323"/>
      <c r="J33" s="54" t="str">
        <f>IF(AND('Mapa final'!$AA$51="Media",'Mapa final'!$AC$51="Leve"),CONCATENATE("R8C",'Mapa final'!$Q$51),"")</f>
        <v/>
      </c>
      <c r="K33" s="55" t="str">
        <f>IF(AND('Mapa final'!$AA$52="Media",'Mapa final'!$AC$52="Leve"),CONCATENATE("R8C",'Mapa final'!$Q$52),"")</f>
        <v/>
      </c>
      <c r="L33" s="55" t="str">
        <f>IF(AND('Mapa final'!$AA$53="Media",'Mapa final'!$AC$53="Leve"),CONCATENATE("R8C",'Mapa final'!$Q$53),"")</f>
        <v/>
      </c>
      <c r="M33" s="55" t="str">
        <f>IF(AND('Mapa final'!$AA$54="Media",'Mapa final'!$AC$54="Leve"),CONCATENATE("R8C",'Mapa final'!$Q$54),"")</f>
        <v/>
      </c>
      <c r="N33" s="55" t="str">
        <f>IF(AND('Mapa final'!$AA$55="Media",'Mapa final'!$AC$55="Leve"),CONCATENATE("R8C",'Mapa final'!$Q$55),"")</f>
        <v/>
      </c>
      <c r="O33" s="56" t="str">
        <f>IF(AND('Mapa final'!$AA$56="Media",'Mapa final'!$AC$56="Leve"),CONCATENATE("R8C",'Mapa final'!$Q$56),"")</f>
        <v/>
      </c>
      <c r="P33" s="54" t="str">
        <f>IF(AND('Mapa final'!$AA$51="Media",'Mapa final'!$AC$51="Menor"),CONCATENATE("R8C",'Mapa final'!$Q$51),"")</f>
        <v/>
      </c>
      <c r="Q33" s="55" t="str">
        <f>IF(AND('Mapa final'!$AA$52="Media",'Mapa final'!$AC$52="Menor"),CONCATENATE("R8C",'Mapa final'!$Q$52),"")</f>
        <v/>
      </c>
      <c r="R33" s="55" t="str">
        <f>IF(AND('Mapa final'!$AA$53="Media",'Mapa final'!$AC$53="Menor"),CONCATENATE("R8C",'Mapa final'!$Q$53),"")</f>
        <v/>
      </c>
      <c r="S33" s="55" t="str">
        <f>IF(AND('Mapa final'!$AA$54="Media",'Mapa final'!$AC$54="Menor"),CONCATENATE("R8C",'Mapa final'!$Q$54),"")</f>
        <v/>
      </c>
      <c r="T33" s="55" t="str">
        <f>IF(AND('Mapa final'!$AA$55="Media",'Mapa final'!$AC$55="Menor"),CONCATENATE("R8C",'Mapa final'!$Q$55),"")</f>
        <v/>
      </c>
      <c r="U33" s="56" t="str">
        <f>IF(AND('Mapa final'!$AA$56="Media",'Mapa final'!$AC$56="Menor"),CONCATENATE("R8C",'Mapa final'!$Q$56),"")</f>
        <v/>
      </c>
      <c r="V33" s="54" t="str">
        <f>IF(AND('Mapa final'!$AA$51="Media",'Mapa final'!$AC$51="Moderado"),CONCATENATE("R8C",'Mapa final'!$Q$51),"")</f>
        <v/>
      </c>
      <c r="W33" s="55" t="str">
        <f>IF(AND('Mapa final'!$AA$52="Media",'Mapa final'!$AC$52="Moderado"),CONCATENATE("R8C",'Mapa final'!$Q$52),"")</f>
        <v/>
      </c>
      <c r="X33" s="55" t="str">
        <f>IF(AND('Mapa final'!$AA$53="Media",'Mapa final'!$AC$53="Moderado"),CONCATENATE("R8C",'Mapa final'!$Q$53),"")</f>
        <v/>
      </c>
      <c r="Y33" s="55" t="str">
        <f>IF(AND('Mapa final'!$AA$54="Media",'Mapa final'!$AC$54="Moderado"),CONCATENATE("R8C",'Mapa final'!$Q$54),"")</f>
        <v/>
      </c>
      <c r="Z33" s="55" t="str">
        <f>IF(AND('Mapa final'!$AA$55="Media",'Mapa final'!$AC$55="Moderado"),CONCATENATE("R8C",'Mapa final'!$Q$55),"")</f>
        <v/>
      </c>
      <c r="AA33" s="56" t="str">
        <f>IF(AND('Mapa final'!$AA$56="Media",'Mapa final'!$AC$56="Moderado"),CONCATENATE("R8C",'Mapa final'!$Q$56),"")</f>
        <v/>
      </c>
      <c r="AB33" s="38" t="str">
        <f>IF(AND('Mapa final'!$AA$51="Media",'Mapa final'!$AC$51="Mayor"),CONCATENATE("R8C",'Mapa final'!$Q$51),"")</f>
        <v/>
      </c>
      <c r="AC33" s="39" t="str">
        <f>IF(AND('Mapa final'!$AA$52="Media",'Mapa final'!$AC$52="Mayor"),CONCATENATE("R8C",'Mapa final'!$Q$52),"")</f>
        <v/>
      </c>
      <c r="AD33" s="44" t="str">
        <f>IF(AND('Mapa final'!$AA$53="Media",'Mapa final'!$AC$53="Mayor"),CONCATENATE("R8C",'Mapa final'!$Q$53),"")</f>
        <v/>
      </c>
      <c r="AE33" s="44" t="str">
        <f>IF(AND('Mapa final'!$AA$54="Media",'Mapa final'!$AC$54="Mayor"),CONCATENATE("R8C",'Mapa final'!$Q$54),"")</f>
        <v/>
      </c>
      <c r="AF33" s="44" t="str">
        <f>IF(AND('Mapa final'!$AA$55="Media",'Mapa final'!$AC$55="Mayor"),CONCATENATE("R8C",'Mapa final'!$Q$55),"")</f>
        <v/>
      </c>
      <c r="AG33" s="40" t="str">
        <f>IF(AND('Mapa final'!$AA$56="Media",'Mapa final'!$AC$56="Mayor"),CONCATENATE("R8C",'Mapa final'!$Q$56),"")</f>
        <v/>
      </c>
      <c r="AH33" s="41" t="str">
        <f>IF(AND('Mapa final'!$AA$51="Media",'Mapa final'!$AC$51="Catastrófico"),CONCATENATE("R8C",'Mapa final'!$Q$51),"")</f>
        <v/>
      </c>
      <c r="AI33" s="42" t="str">
        <f>IF(AND('Mapa final'!$AA$52="Media",'Mapa final'!$AC$52="Catastrófico"),CONCATENATE("R8C",'Mapa final'!$Q$52),"")</f>
        <v/>
      </c>
      <c r="AJ33" s="42" t="str">
        <f>IF(AND('Mapa final'!$AA$53="Media",'Mapa final'!$AC$53="Catastrófico"),CONCATENATE("R8C",'Mapa final'!$Q$53),"")</f>
        <v/>
      </c>
      <c r="AK33" s="42" t="str">
        <f>IF(AND('Mapa final'!$AA$54="Media",'Mapa final'!$AC$54="Catastrófico"),CONCATENATE("R8C",'Mapa final'!$Q$54),"")</f>
        <v/>
      </c>
      <c r="AL33" s="42" t="str">
        <f>IF(AND('Mapa final'!$AA$55="Media",'Mapa final'!$AC$55="Catastrófico"),CONCATENATE("R8C",'Mapa final'!$Q$55),"")</f>
        <v/>
      </c>
      <c r="AM33" s="43" t="str">
        <f>IF(AND('Mapa final'!$AA$56="Media",'Mapa final'!$AC$56="Catastrófico"),CONCATENATE("R8C",'Mapa final'!$Q$56),"")</f>
        <v/>
      </c>
      <c r="AN33" s="70"/>
      <c r="AO33" s="362"/>
      <c r="AP33" s="363"/>
      <c r="AQ33" s="363"/>
      <c r="AR33" s="363"/>
      <c r="AS33" s="363"/>
      <c r="AT33" s="364"/>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80"/>
      <c r="C34" s="280"/>
      <c r="D34" s="281"/>
      <c r="E34" s="321"/>
      <c r="F34" s="322"/>
      <c r="G34" s="322"/>
      <c r="H34" s="322"/>
      <c r="I34" s="323"/>
      <c r="J34" s="54" t="str">
        <f>IF(AND('Mapa final'!$AA$57="Media",'Mapa final'!$AC$57="Leve"),CONCATENATE("R9C",'Mapa final'!$Q$57),"")</f>
        <v/>
      </c>
      <c r="K34" s="55" t="str">
        <f>IF(AND('Mapa final'!$AA$58="Media",'Mapa final'!$AC$58="Leve"),CONCATENATE("R9C",'Mapa final'!$Q$58),"")</f>
        <v/>
      </c>
      <c r="L34" s="55" t="str">
        <f>IF(AND('Mapa final'!$AA$59="Media",'Mapa final'!$AC$59="Leve"),CONCATENATE("R9C",'Mapa final'!$Q$59),"")</f>
        <v/>
      </c>
      <c r="M34" s="55" t="str">
        <f>IF(AND('Mapa final'!$AA$60="Media",'Mapa final'!$AC$60="Leve"),CONCATENATE("R9C",'Mapa final'!$Q$60),"")</f>
        <v/>
      </c>
      <c r="N34" s="55" t="str">
        <f>IF(AND('Mapa final'!$AA$61="Media",'Mapa final'!$AC$61="Leve"),CONCATENATE("R9C",'Mapa final'!$Q$61),"")</f>
        <v/>
      </c>
      <c r="O34" s="56" t="str">
        <f>IF(AND('Mapa final'!$AA$62="Media",'Mapa final'!$AC$62="Leve"),CONCATENATE("R9C",'Mapa final'!$Q$62),"")</f>
        <v/>
      </c>
      <c r="P34" s="54" t="str">
        <f>IF(AND('Mapa final'!$AA$57="Media",'Mapa final'!$AC$57="Menor"),CONCATENATE("R9C",'Mapa final'!$Q$57),"")</f>
        <v/>
      </c>
      <c r="Q34" s="55" t="str">
        <f>IF(AND('Mapa final'!$AA$58="Media",'Mapa final'!$AC$58="Menor"),CONCATENATE("R9C",'Mapa final'!$Q$58),"")</f>
        <v/>
      </c>
      <c r="R34" s="55" t="str">
        <f>IF(AND('Mapa final'!$AA$59="Media",'Mapa final'!$AC$59="Menor"),CONCATENATE("R9C",'Mapa final'!$Q$59),"")</f>
        <v/>
      </c>
      <c r="S34" s="55" t="str">
        <f>IF(AND('Mapa final'!$AA$60="Media",'Mapa final'!$AC$60="Menor"),CONCATENATE("R9C",'Mapa final'!$Q$60),"")</f>
        <v/>
      </c>
      <c r="T34" s="55" t="str">
        <f>IF(AND('Mapa final'!$AA$61="Media",'Mapa final'!$AC$61="Menor"),CONCATENATE("R9C",'Mapa final'!$Q$61),"")</f>
        <v/>
      </c>
      <c r="U34" s="56" t="str">
        <f>IF(AND('Mapa final'!$AA$62="Media",'Mapa final'!$AC$62="Menor"),CONCATENATE("R9C",'Mapa final'!$Q$62),"")</f>
        <v/>
      </c>
      <c r="V34" s="54" t="str">
        <f>IF(AND('Mapa final'!$AA$57="Media",'Mapa final'!$AC$57="Moderado"),CONCATENATE("R9C",'Mapa final'!$Q$57),"")</f>
        <v/>
      </c>
      <c r="W34" s="55" t="str">
        <f>IF(AND('Mapa final'!$AA$58="Media",'Mapa final'!$AC$58="Moderado"),CONCATENATE("R9C",'Mapa final'!$Q$58),"")</f>
        <v/>
      </c>
      <c r="X34" s="55" t="str">
        <f>IF(AND('Mapa final'!$AA$59="Media",'Mapa final'!$AC$59="Moderado"),CONCATENATE("R9C",'Mapa final'!$Q$59),"")</f>
        <v/>
      </c>
      <c r="Y34" s="55" t="str">
        <f>IF(AND('Mapa final'!$AA$60="Media",'Mapa final'!$AC$60="Moderado"),CONCATENATE("R9C",'Mapa final'!$Q$60),"")</f>
        <v/>
      </c>
      <c r="Z34" s="55" t="str">
        <f>IF(AND('Mapa final'!$AA$61="Media",'Mapa final'!$AC$61="Moderado"),CONCATENATE("R9C",'Mapa final'!$Q$61),"")</f>
        <v/>
      </c>
      <c r="AA34" s="56" t="str">
        <f>IF(AND('Mapa final'!$AA$62="Media",'Mapa final'!$AC$62="Moderado"),CONCATENATE("R9C",'Mapa final'!$Q$62),"")</f>
        <v/>
      </c>
      <c r="AB34" s="38" t="str">
        <f>IF(AND('Mapa final'!$AA$57="Media",'Mapa final'!$AC$57="Mayor"),CONCATENATE("R9C",'Mapa final'!$Q$57),"")</f>
        <v/>
      </c>
      <c r="AC34" s="39" t="str">
        <f>IF(AND('Mapa final'!$AA$58="Media",'Mapa final'!$AC$58="Mayor"),CONCATENATE("R9C",'Mapa final'!$Q$58),"")</f>
        <v/>
      </c>
      <c r="AD34" s="44" t="str">
        <f>IF(AND('Mapa final'!$AA$59="Media",'Mapa final'!$AC$59="Mayor"),CONCATENATE("R9C",'Mapa final'!$Q$59),"")</f>
        <v/>
      </c>
      <c r="AE34" s="44" t="str">
        <f>IF(AND('Mapa final'!$AA$60="Media",'Mapa final'!$AC$60="Mayor"),CONCATENATE("R9C",'Mapa final'!$Q$60),"")</f>
        <v/>
      </c>
      <c r="AF34" s="44" t="str">
        <f>IF(AND('Mapa final'!$AA$61="Media",'Mapa final'!$AC$61="Mayor"),CONCATENATE("R9C",'Mapa final'!$Q$61),"")</f>
        <v/>
      </c>
      <c r="AG34" s="40" t="str">
        <f>IF(AND('Mapa final'!$AA$62="Media",'Mapa final'!$AC$62="Mayor"),CONCATENATE("R9C",'Mapa final'!$Q$62),"")</f>
        <v/>
      </c>
      <c r="AH34" s="41" t="str">
        <f>IF(AND('Mapa final'!$AA$57="Media",'Mapa final'!$AC$57="Catastrófico"),CONCATENATE("R9C",'Mapa final'!$Q$57),"")</f>
        <v/>
      </c>
      <c r="AI34" s="42" t="str">
        <f>IF(AND('Mapa final'!$AA$58="Media",'Mapa final'!$AC$58="Catastrófico"),CONCATENATE("R9C",'Mapa final'!$Q$58),"")</f>
        <v/>
      </c>
      <c r="AJ34" s="42" t="str">
        <f>IF(AND('Mapa final'!$AA$59="Media",'Mapa final'!$AC$59="Catastrófico"),CONCATENATE("R9C",'Mapa final'!$Q$59),"")</f>
        <v/>
      </c>
      <c r="AK34" s="42" t="str">
        <f>IF(AND('Mapa final'!$AA$60="Media",'Mapa final'!$AC$60="Catastrófico"),CONCATENATE("R9C",'Mapa final'!$Q$60),"")</f>
        <v/>
      </c>
      <c r="AL34" s="42" t="str">
        <f>IF(AND('Mapa final'!$AA$61="Media",'Mapa final'!$AC$61="Catastrófico"),CONCATENATE("R9C",'Mapa final'!$Q$61),"")</f>
        <v/>
      </c>
      <c r="AM34" s="43" t="str">
        <f>IF(AND('Mapa final'!$AA$62="Media",'Mapa final'!$AC$62="Catastrófico"),CONCATENATE("R9C",'Mapa final'!$Q$62),"")</f>
        <v/>
      </c>
      <c r="AN34" s="70"/>
      <c r="AO34" s="362"/>
      <c r="AP34" s="363"/>
      <c r="AQ34" s="363"/>
      <c r="AR34" s="363"/>
      <c r="AS34" s="363"/>
      <c r="AT34" s="364"/>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80"/>
      <c r="C35" s="280"/>
      <c r="D35" s="281"/>
      <c r="E35" s="324"/>
      <c r="F35" s="325"/>
      <c r="G35" s="325"/>
      <c r="H35" s="325"/>
      <c r="I35" s="326"/>
      <c r="J35" s="54" t="str">
        <f>IF(AND('Mapa final'!$AA$63="Media",'Mapa final'!$AC$63="Leve"),CONCATENATE("R10C",'Mapa final'!$Q$63),"")</f>
        <v/>
      </c>
      <c r="K35" s="55" t="str">
        <f>IF(AND('Mapa final'!$AA$64="Media",'Mapa final'!$AC$64="Leve"),CONCATENATE("R10C",'Mapa final'!$Q$64),"")</f>
        <v/>
      </c>
      <c r="L35" s="55" t="str">
        <f>IF(AND('Mapa final'!$AA$65="Media",'Mapa final'!$AC$65="Leve"),CONCATENATE("R10C",'Mapa final'!$Q$65),"")</f>
        <v/>
      </c>
      <c r="M35" s="55" t="str">
        <f>IF(AND('Mapa final'!$AA$66="Media",'Mapa final'!$AC$66="Leve"),CONCATENATE("R10C",'Mapa final'!$Q$66),"")</f>
        <v/>
      </c>
      <c r="N35" s="55" t="str">
        <f>IF(AND('Mapa final'!$AA$67="Media",'Mapa final'!$AC$67="Leve"),CONCATENATE("R10C",'Mapa final'!$Q$67),"")</f>
        <v/>
      </c>
      <c r="O35" s="56" t="str">
        <f>IF(AND('Mapa final'!$AA$68="Media",'Mapa final'!$AC$68="Leve"),CONCATENATE("R10C",'Mapa final'!$Q$68),"")</f>
        <v/>
      </c>
      <c r="P35" s="54" t="str">
        <f>IF(AND('Mapa final'!$AA$63="Media",'Mapa final'!$AC$63="Menor"),CONCATENATE("R10C",'Mapa final'!$Q$63),"")</f>
        <v/>
      </c>
      <c r="Q35" s="55" t="str">
        <f>IF(AND('Mapa final'!$AA$64="Media",'Mapa final'!$AC$64="Menor"),CONCATENATE("R10C",'Mapa final'!$Q$64),"")</f>
        <v/>
      </c>
      <c r="R35" s="55" t="str">
        <f>IF(AND('Mapa final'!$AA$65="Media",'Mapa final'!$AC$65="Menor"),CONCATENATE("R10C",'Mapa final'!$Q$65),"")</f>
        <v/>
      </c>
      <c r="S35" s="55" t="str">
        <f>IF(AND('Mapa final'!$AA$66="Media",'Mapa final'!$AC$66="Menor"),CONCATENATE("R10C",'Mapa final'!$Q$66),"")</f>
        <v/>
      </c>
      <c r="T35" s="55" t="str">
        <f>IF(AND('Mapa final'!$AA$67="Media",'Mapa final'!$AC$67="Menor"),CONCATENATE("R10C",'Mapa final'!$Q$67),"")</f>
        <v/>
      </c>
      <c r="U35" s="56" t="str">
        <f>IF(AND('Mapa final'!$AA$68="Media",'Mapa final'!$AC$68="Menor"),CONCATENATE("R10C",'Mapa final'!$Q$68),"")</f>
        <v/>
      </c>
      <c r="V35" s="54" t="str">
        <f>IF(AND('Mapa final'!$AA$63="Media",'Mapa final'!$AC$63="Moderado"),CONCATENATE("R10C",'Mapa final'!$Q$63),"")</f>
        <v/>
      </c>
      <c r="W35" s="55" t="str">
        <f>IF(AND('Mapa final'!$AA$64="Media",'Mapa final'!$AC$64="Moderado"),CONCATENATE("R10C",'Mapa final'!$Q$64),"")</f>
        <v/>
      </c>
      <c r="X35" s="55" t="str">
        <f>IF(AND('Mapa final'!$AA$65="Media",'Mapa final'!$AC$65="Moderado"),CONCATENATE("R10C",'Mapa final'!$Q$65),"")</f>
        <v/>
      </c>
      <c r="Y35" s="55" t="str">
        <f>IF(AND('Mapa final'!$AA$66="Media",'Mapa final'!$AC$66="Moderado"),CONCATENATE("R10C",'Mapa final'!$Q$66),"")</f>
        <v/>
      </c>
      <c r="Z35" s="55" t="str">
        <f>IF(AND('Mapa final'!$AA$67="Media",'Mapa final'!$AC$67="Moderado"),CONCATENATE("R10C",'Mapa final'!$Q$67),"")</f>
        <v/>
      </c>
      <c r="AA35" s="56" t="str">
        <f>IF(AND('Mapa final'!$AA$68="Media",'Mapa final'!$AC$68="Moderado"),CONCATENATE("R10C",'Mapa final'!$Q$68),"")</f>
        <v/>
      </c>
      <c r="AB35" s="45" t="str">
        <f>IF(AND('Mapa final'!$AA$63="Media",'Mapa final'!$AC$63="Mayor"),CONCATENATE("R10C",'Mapa final'!$Q$63),"")</f>
        <v/>
      </c>
      <c r="AC35" s="46" t="str">
        <f>IF(AND('Mapa final'!$AA$64="Media",'Mapa final'!$AC$64="Mayor"),CONCATENATE("R10C",'Mapa final'!$Q$64),"")</f>
        <v/>
      </c>
      <c r="AD35" s="46" t="str">
        <f>IF(AND('Mapa final'!$AA$65="Media",'Mapa final'!$AC$65="Mayor"),CONCATENATE("R10C",'Mapa final'!$Q$65),"")</f>
        <v/>
      </c>
      <c r="AE35" s="46" t="str">
        <f>IF(AND('Mapa final'!$AA$66="Media",'Mapa final'!$AC$66="Mayor"),CONCATENATE("R10C",'Mapa final'!$Q$66),"")</f>
        <v/>
      </c>
      <c r="AF35" s="46" t="str">
        <f>IF(AND('Mapa final'!$AA$67="Media",'Mapa final'!$AC$67="Mayor"),CONCATENATE("R10C",'Mapa final'!$Q$67),"")</f>
        <v/>
      </c>
      <c r="AG35" s="47" t="str">
        <f>IF(AND('Mapa final'!$AA$68="Media",'Mapa final'!$AC$68="Mayor"),CONCATENATE("R10C",'Mapa final'!$Q$68),"")</f>
        <v/>
      </c>
      <c r="AH35" s="48" t="str">
        <f>IF(AND('Mapa final'!$AA$63="Media",'Mapa final'!$AC$63="Catastrófico"),CONCATENATE("R10C",'Mapa final'!$Q$63),"")</f>
        <v/>
      </c>
      <c r="AI35" s="49" t="str">
        <f>IF(AND('Mapa final'!$AA$64="Media",'Mapa final'!$AC$64="Catastrófico"),CONCATENATE("R10C",'Mapa final'!$Q$64),"")</f>
        <v/>
      </c>
      <c r="AJ35" s="49" t="str">
        <f>IF(AND('Mapa final'!$AA$65="Media",'Mapa final'!$AC$65="Catastrófico"),CONCATENATE("R10C",'Mapa final'!$Q$65),"")</f>
        <v/>
      </c>
      <c r="AK35" s="49" t="str">
        <f>IF(AND('Mapa final'!$AA$66="Media",'Mapa final'!$AC$66="Catastrófico"),CONCATENATE("R10C",'Mapa final'!$Q$66),"")</f>
        <v/>
      </c>
      <c r="AL35" s="49" t="str">
        <f>IF(AND('Mapa final'!$AA$67="Media",'Mapa final'!$AC$67="Catastrófico"),CONCATENATE("R10C",'Mapa final'!$Q$67),"")</f>
        <v/>
      </c>
      <c r="AM35" s="50" t="str">
        <f>IF(AND('Mapa final'!$AA$68="Media",'Mapa final'!$AC$68="Catastrófico"),CONCATENATE("R10C",'Mapa final'!$Q$68),"")</f>
        <v/>
      </c>
      <c r="AN35" s="70"/>
      <c r="AO35" s="365"/>
      <c r="AP35" s="366"/>
      <c r="AQ35" s="366"/>
      <c r="AR35" s="366"/>
      <c r="AS35" s="366"/>
      <c r="AT35" s="367"/>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80"/>
      <c r="C36" s="280"/>
      <c r="D36" s="281"/>
      <c r="E36" s="318" t="s">
        <v>110</v>
      </c>
      <c r="F36" s="319"/>
      <c r="G36" s="319"/>
      <c r="H36" s="319"/>
      <c r="I36" s="319"/>
      <c r="J36" s="60" t="str">
        <f>IF(AND('Mapa final'!$AA$9="Baja",'Mapa final'!$AC$9="Leve"),CONCATENATE("R1C",'Mapa final'!$Q$9),"")</f>
        <v>R1C1</v>
      </c>
      <c r="K36" s="61" t="str">
        <f>IF(AND('Mapa final'!$AA$10="Baja",'Mapa final'!$AC$10="Leve"),CONCATENATE("R1C",'Mapa final'!$Q$10),"")</f>
        <v>R1C2</v>
      </c>
      <c r="L36" s="61" t="str">
        <f>IF(AND('Mapa final'!$AA$11="Baja",'Mapa final'!$AC$11="Leve"),CONCATENATE("R1C",'Mapa final'!$Q$11),"")</f>
        <v/>
      </c>
      <c r="M36" s="61" t="str">
        <f>IF(AND('Mapa final'!$AA$12="Baja",'Mapa final'!$AC$12="Leve"),CONCATENATE("R1C",'Mapa final'!$Q$12),"")</f>
        <v/>
      </c>
      <c r="N36" s="61" t="str">
        <f>IF(AND('Mapa final'!$AA$13="Baja",'Mapa final'!$AC$13="Leve"),CONCATENATE("R1C",'Mapa final'!$Q$13),"")</f>
        <v/>
      </c>
      <c r="O36" s="62" t="str">
        <f>IF(AND('Mapa final'!$AA$14="Baja",'Mapa final'!$AC$14="Leve"),CONCATENATE("R1C",'Mapa final'!$Q$14),"")</f>
        <v/>
      </c>
      <c r="P36" s="51" t="str">
        <f>IF(AND('Mapa final'!$AA$9="Baja",'Mapa final'!$AC$9="Menor"),CONCATENATE("R1C",'Mapa final'!$Q$9),"")</f>
        <v/>
      </c>
      <c r="Q36" s="52" t="str">
        <f>IF(AND('Mapa final'!$AA$10="Baja",'Mapa final'!$AC$10="Menor"),CONCATENATE("R1C",'Mapa final'!$Q$10),"")</f>
        <v/>
      </c>
      <c r="R36" s="52" t="str">
        <f>IF(AND('Mapa final'!$AA$11="Baja",'Mapa final'!$AC$11="Menor"),CONCATENATE("R1C",'Mapa final'!$Q$11),"")</f>
        <v/>
      </c>
      <c r="S36" s="52" t="str">
        <f>IF(AND('Mapa final'!$AA$12="Baja",'Mapa final'!$AC$12="Menor"),CONCATENATE("R1C",'Mapa final'!$Q$12),"")</f>
        <v/>
      </c>
      <c r="T36" s="52" t="str">
        <f>IF(AND('Mapa final'!$AA$13="Baja",'Mapa final'!$AC$13="Menor"),CONCATENATE("R1C",'Mapa final'!$Q$13),"")</f>
        <v/>
      </c>
      <c r="U36" s="53" t="str">
        <f>IF(AND('Mapa final'!$AA$14="Baja",'Mapa final'!$AC$14="Menor"),CONCATENATE("R1C",'Mapa final'!$Q$14),"")</f>
        <v/>
      </c>
      <c r="V36" s="51" t="str">
        <f>IF(AND('Mapa final'!$AA$9="Baja",'Mapa final'!$AC$9="Moderado"),CONCATENATE("R1C",'Mapa final'!$Q$9),"")</f>
        <v/>
      </c>
      <c r="W36" s="52" t="str">
        <f>IF(AND('Mapa final'!$AA$10="Baja",'Mapa final'!$AC$10="Moderado"),CONCATENATE("R1C",'Mapa final'!$Q$10),"")</f>
        <v/>
      </c>
      <c r="X36" s="52" t="str">
        <f>IF(AND('Mapa final'!$AA$11="Baja",'Mapa final'!$AC$11="Moderado"),CONCATENATE("R1C",'Mapa final'!$Q$11),"")</f>
        <v/>
      </c>
      <c r="Y36" s="52" t="str">
        <f>IF(AND('Mapa final'!$AA$12="Baja",'Mapa final'!$AC$12="Moderado"),CONCATENATE("R1C",'Mapa final'!$Q$12),"")</f>
        <v/>
      </c>
      <c r="Z36" s="52" t="str">
        <f>IF(AND('Mapa final'!$AA$13="Baja",'Mapa final'!$AC$13="Moderado"),CONCATENATE("R1C",'Mapa final'!$Q$13),"")</f>
        <v/>
      </c>
      <c r="AA36" s="53" t="str">
        <f>IF(AND('Mapa final'!$AA$14="Baja",'Mapa final'!$AC$14="Moderado"),CONCATENATE("R1C",'Mapa final'!$Q$14),"")</f>
        <v/>
      </c>
      <c r="AB36" s="32" t="str">
        <f>IF(AND('Mapa final'!$AA$9="Baja",'Mapa final'!$AC$9="Mayor"),CONCATENATE("R1C",'Mapa final'!$Q$9),"")</f>
        <v/>
      </c>
      <c r="AC36" s="33" t="str">
        <f>IF(AND('Mapa final'!$AA$10="Baja",'Mapa final'!$AC$10="Mayor"),CONCATENATE("R1C",'Mapa final'!$Q$10),"")</f>
        <v/>
      </c>
      <c r="AD36" s="33" t="str">
        <f>IF(AND('Mapa final'!$AA$11="Baja",'Mapa final'!$AC$11="Mayor"),CONCATENATE("R1C",'Mapa final'!$Q$11),"")</f>
        <v/>
      </c>
      <c r="AE36" s="33" t="str">
        <f>IF(AND('Mapa final'!$AA$12="Baja",'Mapa final'!$AC$12="Mayor"),CONCATENATE("R1C",'Mapa final'!$Q$12),"")</f>
        <v/>
      </c>
      <c r="AF36" s="33" t="str">
        <f>IF(AND('Mapa final'!$AA$13="Baja",'Mapa final'!$AC$13="Mayor"),CONCATENATE("R1C",'Mapa final'!$Q$13),"")</f>
        <v/>
      </c>
      <c r="AG36" s="34" t="str">
        <f>IF(AND('Mapa final'!$AA$14="Baja",'Mapa final'!$AC$14="Mayor"),CONCATENATE("R1C",'Mapa final'!$Q$14),"")</f>
        <v/>
      </c>
      <c r="AH36" s="35" t="str">
        <f>IF(AND('Mapa final'!$AA$9="Baja",'Mapa final'!$AC$9="Catastrófico"),CONCATENATE("R1C",'Mapa final'!$Q$9),"")</f>
        <v/>
      </c>
      <c r="AI36" s="36" t="str">
        <f>IF(AND('Mapa final'!$AA$10="Baja",'Mapa final'!$AC$10="Catastrófico"),CONCATENATE("R1C",'Mapa final'!$Q$10),"")</f>
        <v/>
      </c>
      <c r="AJ36" s="36" t="str">
        <f>IF(AND('Mapa final'!$AA$11="Baja",'Mapa final'!$AC$11="Catastrófico"),CONCATENATE("R1C",'Mapa final'!$Q$11),"")</f>
        <v/>
      </c>
      <c r="AK36" s="36" t="str">
        <f>IF(AND('Mapa final'!$AA$12="Baja",'Mapa final'!$AC$12="Catastrófico"),CONCATENATE("R1C",'Mapa final'!$Q$12),"")</f>
        <v/>
      </c>
      <c r="AL36" s="36" t="str">
        <f>IF(AND('Mapa final'!$AA$13="Baja",'Mapa final'!$AC$13="Catastrófico"),CONCATENATE("R1C",'Mapa final'!$Q$13),"")</f>
        <v/>
      </c>
      <c r="AM36" s="37" t="str">
        <f>IF(AND('Mapa final'!$AA$14="Baja",'Mapa final'!$AC$14="Catastrófico"),CONCATENATE("R1C",'Mapa final'!$Q$14),"")</f>
        <v/>
      </c>
      <c r="AN36" s="70"/>
      <c r="AO36" s="350" t="s">
        <v>78</v>
      </c>
      <c r="AP36" s="351"/>
      <c r="AQ36" s="351"/>
      <c r="AR36" s="351"/>
      <c r="AS36" s="351"/>
      <c r="AT36" s="352"/>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80"/>
      <c r="C37" s="280"/>
      <c r="D37" s="281"/>
      <c r="E37" s="337"/>
      <c r="F37" s="338"/>
      <c r="G37" s="338"/>
      <c r="H37" s="338"/>
      <c r="I37" s="338"/>
      <c r="J37" s="63" t="str">
        <f ca="1">IF(AND('Mapa final'!$AA$15="Baja",'Mapa final'!$AC$15="Leve"),CONCATENATE("R2C",'Mapa final'!$Q$15),"")</f>
        <v/>
      </c>
      <c r="K37" s="64" t="str">
        <f>IF(AND('Mapa final'!$AA$16="Baja",'Mapa final'!$AC$16="Leve"),CONCATENATE("R2C",'Mapa final'!$Q$16),"")</f>
        <v/>
      </c>
      <c r="L37" s="64" t="str">
        <f>IF(AND('Mapa final'!$AA$17="Baja",'Mapa final'!$AC$17="Leve"),CONCATENATE("R2C",'Mapa final'!$Q$17),"")</f>
        <v/>
      </c>
      <c r="M37" s="64" t="str">
        <f>IF(AND('Mapa final'!$AA$18="Baja",'Mapa final'!$AC$18="Leve"),CONCATENATE("R2C",'Mapa final'!$Q$18),"")</f>
        <v/>
      </c>
      <c r="N37" s="64" t="str">
        <f>IF(AND('Mapa final'!$AA$19="Baja",'Mapa final'!$AC$19="Leve"),CONCATENATE("R2C",'Mapa final'!$Q$19),"")</f>
        <v/>
      </c>
      <c r="O37" s="65" t="str">
        <f>IF(AND('Mapa final'!$AA$20="Baja",'Mapa final'!$AC$20="Leve"),CONCATENATE("R2C",'Mapa final'!$Q$20),"")</f>
        <v/>
      </c>
      <c r="P37" s="54" t="str">
        <f ca="1">IF(AND('Mapa final'!$AA$15="Baja",'Mapa final'!$AC$15="Menor"),CONCATENATE("R2C",'Mapa final'!$Q$15),"")</f>
        <v/>
      </c>
      <c r="Q37" s="55" t="str">
        <f>IF(AND('Mapa final'!$AA$16="Baja",'Mapa final'!$AC$16="Menor"),CONCATENATE("R2C",'Mapa final'!$Q$16),"")</f>
        <v/>
      </c>
      <c r="R37" s="55" t="str">
        <f>IF(AND('Mapa final'!$AA$17="Baja",'Mapa final'!$AC$17="Menor"),CONCATENATE("R2C",'Mapa final'!$Q$17),"")</f>
        <v/>
      </c>
      <c r="S37" s="55" t="str">
        <f>IF(AND('Mapa final'!$AA$18="Baja",'Mapa final'!$AC$18="Menor"),CONCATENATE("R2C",'Mapa final'!$Q$18),"")</f>
        <v/>
      </c>
      <c r="T37" s="55" t="str">
        <f>IF(AND('Mapa final'!$AA$19="Baja",'Mapa final'!$AC$19="Menor"),CONCATENATE("R2C",'Mapa final'!$Q$19),"")</f>
        <v/>
      </c>
      <c r="U37" s="56" t="str">
        <f>IF(AND('Mapa final'!$AA$20="Baja",'Mapa final'!$AC$20="Menor"),CONCATENATE("R2C",'Mapa final'!$Q$20),"")</f>
        <v/>
      </c>
      <c r="V37" s="54" t="str">
        <f ca="1">IF(AND('Mapa final'!$AA$15="Baja",'Mapa final'!$AC$15="Moderado"),CONCATENATE("R2C",'Mapa final'!$Q$15),"")</f>
        <v/>
      </c>
      <c r="W37" s="55" t="str">
        <f>IF(AND('Mapa final'!$AA$16="Baja",'Mapa final'!$AC$16="Moderado"),CONCATENATE("R2C",'Mapa final'!$Q$16),"")</f>
        <v/>
      </c>
      <c r="X37" s="55" t="str">
        <f>IF(AND('Mapa final'!$AA$17="Baja",'Mapa final'!$AC$17="Moderado"),CONCATENATE("R2C",'Mapa final'!$Q$17),"")</f>
        <v/>
      </c>
      <c r="Y37" s="55" t="str">
        <f>IF(AND('Mapa final'!$AA$18="Baja",'Mapa final'!$AC$18="Moderado"),CONCATENATE("R2C",'Mapa final'!$Q$18),"")</f>
        <v/>
      </c>
      <c r="Z37" s="55" t="str">
        <f>IF(AND('Mapa final'!$AA$19="Baja",'Mapa final'!$AC$19="Moderado"),CONCATENATE("R2C",'Mapa final'!$Q$19),"")</f>
        <v/>
      </c>
      <c r="AA37" s="56" t="str">
        <f>IF(AND('Mapa final'!$AA$20="Baja",'Mapa final'!$AC$20="Moderado"),CONCATENATE("R2C",'Mapa final'!$Q$20),"")</f>
        <v/>
      </c>
      <c r="AB37" s="38" t="str">
        <f ca="1">IF(AND('Mapa final'!$AA$15="Baja",'Mapa final'!$AC$15="Mayor"),CONCATENATE("R2C",'Mapa final'!$Q$15),"")</f>
        <v/>
      </c>
      <c r="AC37" s="39" t="str">
        <f>IF(AND('Mapa final'!$AA$16="Baja",'Mapa final'!$AC$16="Mayor"),CONCATENATE("R2C",'Mapa final'!$Q$16),"")</f>
        <v/>
      </c>
      <c r="AD37" s="39" t="str">
        <f>IF(AND('Mapa final'!$AA$17="Baja",'Mapa final'!$AC$17="Mayor"),CONCATENATE("R2C",'Mapa final'!$Q$17),"")</f>
        <v/>
      </c>
      <c r="AE37" s="39" t="str">
        <f>IF(AND('Mapa final'!$AA$18="Baja",'Mapa final'!$AC$18="Mayor"),CONCATENATE("R2C",'Mapa final'!$Q$18),"")</f>
        <v/>
      </c>
      <c r="AF37" s="39" t="str">
        <f>IF(AND('Mapa final'!$AA$19="Baja",'Mapa final'!$AC$19="Mayor"),CONCATENATE("R2C",'Mapa final'!$Q$19),"")</f>
        <v/>
      </c>
      <c r="AG37" s="40" t="str">
        <f>IF(AND('Mapa final'!$AA$20="Baja",'Mapa final'!$AC$20="Mayor"),CONCATENATE("R2C",'Mapa final'!$Q$20),"")</f>
        <v/>
      </c>
      <c r="AH37" s="41" t="str">
        <f ca="1">IF(AND('Mapa final'!$AA$15="Baja",'Mapa final'!$AC$15="Catastrófico"),CONCATENATE("R2C",'Mapa final'!$Q$15),"")</f>
        <v/>
      </c>
      <c r="AI37" s="42" t="str">
        <f>IF(AND('Mapa final'!$AA$16="Baja",'Mapa final'!$AC$16="Catastrófico"),CONCATENATE("R2C",'Mapa final'!$Q$16),"")</f>
        <v/>
      </c>
      <c r="AJ37" s="42" t="str">
        <f>IF(AND('Mapa final'!$AA$17="Baja",'Mapa final'!$AC$17="Catastrófico"),CONCATENATE("R2C",'Mapa final'!$Q$17),"")</f>
        <v/>
      </c>
      <c r="AK37" s="42" t="str">
        <f>IF(AND('Mapa final'!$AA$18="Baja",'Mapa final'!$AC$18="Catastrófico"),CONCATENATE("R2C",'Mapa final'!$Q$18),"")</f>
        <v/>
      </c>
      <c r="AL37" s="42" t="str">
        <f>IF(AND('Mapa final'!$AA$19="Baja",'Mapa final'!$AC$19="Catastrófico"),CONCATENATE("R2C",'Mapa final'!$Q$19),"")</f>
        <v/>
      </c>
      <c r="AM37" s="43" t="str">
        <f>IF(AND('Mapa final'!$AA$20="Baja",'Mapa final'!$AC$20="Catastrófico"),CONCATENATE("R2C",'Mapa final'!$Q$20),"")</f>
        <v/>
      </c>
      <c r="AN37" s="70"/>
      <c r="AO37" s="353"/>
      <c r="AP37" s="354"/>
      <c r="AQ37" s="354"/>
      <c r="AR37" s="354"/>
      <c r="AS37" s="354"/>
      <c r="AT37" s="355"/>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80"/>
      <c r="C38" s="280"/>
      <c r="D38" s="281"/>
      <c r="E38" s="321"/>
      <c r="F38" s="322"/>
      <c r="G38" s="322"/>
      <c r="H38" s="322"/>
      <c r="I38" s="338"/>
      <c r="J38" s="63" t="str">
        <f>IF(AND('Mapa final'!$AA$21="Baja",'Mapa final'!$AC$21="Leve"),CONCATENATE("R3C",'Mapa final'!$Q$21),"")</f>
        <v/>
      </c>
      <c r="K38" s="64" t="str">
        <f>IF(AND('Mapa final'!$AA$22="Baja",'Mapa final'!$AC$22="Leve"),CONCATENATE("R3C",'Mapa final'!$Q$22),"")</f>
        <v/>
      </c>
      <c r="L38" s="64" t="str">
        <f>IF(AND('Mapa final'!$AA$23="Baja",'Mapa final'!$AC$23="Leve"),CONCATENATE("R3C",'Mapa final'!$Q$23),"")</f>
        <v/>
      </c>
      <c r="M38" s="64" t="str">
        <f>IF(AND('Mapa final'!$AA$24="Baja",'Mapa final'!$AC$24="Leve"),CONCATENATE("R3C",'Mapa final'!$Q$24),"")</f>
        <v/>
      </c>
      <c r="N38" s="64" t="str">
        <f>IF(AND('Mapa final'!$AA$25="Baja",'Mapa final'!$AC$25="Leve"),CONCATENATE("R3C",'Mapa final'!$Q$25),"")</f>
        <v/>
      </c>
      <c r="O38" s="65" t="str">
        <f>IF(AND('Mapa final'!$AA$26="Baja",'Mapa final'!$AC$26="Leve"),CONCATENATE("R3C",'Mapa final'!$Q$26),"")</f>
        <v/>
      </c>
      <c r="P38" s="54" t="str">
        <f>IF(AND('Mapa final'!$AA$21="Baja",'Mapa final'!$AC$21="Menor"),CONCATENATE("R3C",'Mapa final'!$Q$21),"")</f>
        <v/>
      </c>
      <c r="Q38" s="55" t="str">
        <f>IF(AND('Mapa final'!$AA$22="Baja",'Mapa final'!$AC$22="Menor"),CONCATENATE("R3C",'Mapa final'!$Q$22),"")</f>
        <v/>
      </c>
      <c r="R38" s="55" t="str">
        <f>IF(AND('Mapa final'!$AA$23="Baja",'Mapa final'!$AC$23="Menor"),CONCATENATE("R3C",'Mapa final'!$Q$23),"")</f>
        <v/>
      </c>
      <c r="S38" s="55" t="str">
        <f>IF(AND('Mapa final'!$AA$24="Baja",'Mapa final'!$AC$24="Menor"),CONCATENATE("R3C",'Mapa final'!$Q$24),"")</f>
        <v/>
      </c>
      <c r="T38" s="55" t="str">
        <f>IF(AND('Mapa final'!$AA$25="Baja",'Mapa final'!$AC$25="Menor"),CONCATENATE("R3C",'Mapa final'!$Q$25),"")</f>
        <v/>
      </c>
      <c r="U38" s="56" t="str">
        <f>IF(AND('Mapa final'!$AA$26="Baja",'Mapa final'!$AC$26="Menor"),CONCATENATE("R3C",'Mapa final'!$Q$26),"")</f>
        <v/>
      </c>
      <c r="V38" s="54" t="str">
        <f>IF(AND('Mapa final'!$AA$21="Baja",'Mapa final'!$AC$21="Moderado"),CONCATENATE("R3C",'Mapa final'!$Q$21),"")</f>
        <v/>
      </c>
      <c r="W38" s="55" t="str">
        <f>IF(AND('Mapa final'!$AA$22="Baja",'Mapa final'!$AC$22="Moderado"),CONCATENATE("R3C",'Mapa final'!$Q$22),"")</f>
        <v/>
      </c>
      <c r="X38" s="55" t="str">
        <f>IF(AND('Mapa final'!$AA$23="Baja",'Mapa final'!$AC$23="Moderado"),CONCATENATE("R3C",'Mapa final'!$Q$23),"")</f>
        <v/>
      </c>
      <c r="Y38" s="55" t="str">
        <f>IF(AND('Mapa final'!$AA$24="Baja",'Mapa final'!$AC$24="Moderado"),CONCATENATE("R3C",'Mapa final'!$Q$24),"")</f>
        <v/>
      </c>
      <c r="Z38" s="55" t="str">
        <f>IF(AND('Mapa final'!$AA$25="Baja",'Mapa final'!$AC$25="Moderado"),CONCATENATE("R3C",'Mapa final'!$Q$25),"")</f>
        <v/>
      </c>
      <c r="AA38" s="56" t="str">
        <f>IF(AND('Mapa final'!$AA$26="Baja",'Mapa final'!$AC$26="Moderado"),CONCATENATE("R3C",'Mapa final'!$Q$26),"")</f>
        <v/>
      </c>
      <c r="AB38" s="38" t="str">
        <f>IF(AND('Mapa final'!$AA$21="Baja",'Mapa final'!$AC$21="Mayor"),CONCATENATE("R3C",'Mapa final'!$Q$21),"")</f>
        <v/>
      </c>
      <c r="AC38" s="39" t="str">
        <f>IF(AND('Mapa final'!$AA$22="Baja",'Mapa final'!$AC$22="Mayor"),CONCATENATE("R3C",'Mapa final'!$Q$22),"")</f>
        <v/>
      </c>
      <c r="AD38" s="39" t="str">
        <f>IF(AND('Mapa final'!$AA$23="Baja",'Mapa final'!$AC$23="Mayor"),CONCATENATE("R3C",'Mapa final'!$Q$23),"")</f>
        <v/>
      </c>
      <c r="AE38" s="39" t="str">
        <f>IF(AND('Mapa final'!$AA$24="Baja",'Mapa final'!$AC$24="Mayor"),CONCATENATE("R3C",'Mapa final'!$Q$24),"")</f>
        <v/>
      </c>
      <c r="AF38" s="39" t="str">
        <f>IF(AND('Mapa final'!$AA$25="Baja",'Mapa final'!$AC$25="Mayor"),CONCATENATE("R3C",'Mapa final'!$Q$25),"")</f>
        <v/>
      </c>
      <c r="AG38" s="40" t="str">
        <f>IF(AND('Mapa final'!$AA$26="Baja",'Mapa final'!$AC$26="Mayor"),CONCATENATE("R3C",'Mapa final'!$Q$26),"")</f>
        <v/>
      </c>
      <c r="AH38" s="41" t="str">
        <f>IF(AND('Mapa final'!$AA$21="Baja",'Mapa final'!$AC$21="Catastrófico"),CONCATENATE("R3C",'Mapa final'!$Q$21),"")</f>
        <v/>
      </c>
      <c r="AI38" s="42" t="str">
        <f>IF(AND('Mapa final'!$AA$22="Baja",'Mapa final'!$AC$22="Catastrófico"),CONCATENATE("R3C",'Mapa final'!$Q$22),"")</f>
        <v/>
      </c>
      <c r="AJ38" s="42" t="str">
        <f>IF(AND('Mapa final'!$AA$23="Baja",'Mapa final'!$AC$23="Catastrófico"),CONCATENATE("R3C",'Mapa final'!$Q$23),"")</f>
        <v/>
      </c>
      <c r="AK38" s="42" t="str">
        <f>IF(AND('Mapa final'!$AA$24="Baja",'Mapa final'!$AC$24="Catastrófico"),CONCATENATE("R3C",'Mapa final'!$Q$24),"")</f>
        <v/>
      </c>
      <c r="AL38" s="42" t="str">
        <f>IF(AND('Mapa final'!$AA$25="Baja",'Mapa final'!$AC$25="Catastrófico"),CONCATENATE("R3C",'Mapa final'!$Q$25),"")</f>
        <v/>
      </c>
      <c r="AM38" s="43" t="str">
        <f>IF(AND('Mapa final'!$AA$26="Baja",'Mapa final'!$AC$26="Catastrófico"),CONCATENATE("R3C",'Mapa final'!$Q$26),"")</f>
        <v/>
      </c>
      <c r="AN38" s="70"/>
      <c r="AO38" s="353"/>
      <c r="AP38" s="354"/>
      <c r="AQ38" s="354"/>
      <c r="AR38" s="354"/>
      <c r="AS38" s="354"/>
      <c r="AT38" s="355"/>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80"/>
      <c r="C39" s="280"/>
      <c r="D39" s="281"/>
      <c r="E39" s="321"/>
      <c r="F39" s="322"/>
      <c r="G39" s="322"/>
      <c r="H39" s="322"/>
      <c r="I39" s="338"/>
      <c r="J39" s="63" t="str">
        <f>IF(AND('Mapa final'!$AA$27="Baja",'Mapa final'!$AC$27="Leve"),CONCATENATE("R4C",'Mapa final'!$Q$27),"")</f>
        <v/>
      </c>
      <c r="K39" s="64" t="str">
        <f>IF(AND('Mapa final'!$AA$28="Baja",'Mapa final'!$AC$28="Leve"),CONCATENATE("R4C",'Mapa final'!$Q$28),"")</f>
        <v/>
      </c>
      <c r="L39" s="64" t="str">
        <f>IF(AND('Mapa final'!$AA$29="Baja",'Mapa final'!$AC$29="Leve"),CONCATENATE("R4C",'Mapa final'!$Q$29),"")</f>
        <v/>
      </c>
      <c r="M39" s="64" t="str">
        <f>IF(AND('Mapa final'!$AA$30="Baja",'Mapa final'!$AC$30="Leve"),CONCATENATE("R4C",'Mapa final'!$Q$30),"")</f>
        <v/>
      </c>
      <c r="N39" s="64" t="str">
        <f>IF(AND('Mapa final'!$AA$31="Baja",'Mapa final'!$AC$31="Leve"),CONCATENATE("R4C",'Mapa final'!$Q$31),"")</f>
        <v/>
      </c>
      <c r="O39" s="65" t="str">
        <f>IF(AND('Mapa final'!$AA$32="Baja",'Mapa final'!$AC$32="Leve"),CONCATENATE("R4C",'Mapa final'!$Q$32),"")</f>
        <v/>
      </c>
      <c r="P39" s="54" t="str">
        <f>IF(AND('Mapa final'!$AA$27="Baja",'Mapa final'!$AC$27="Menor"),CONCATENATE("R4C",'Mapa final'!$Q$27),"")</f>
        <v/>
      </c>
      <c r="Q39" s="55" t="str">
        <f>IF(AND('Mapa final'!$AA$28="Baja",'Mapa final'!$AC$28="Menor"),CONCATENATE("R4C",'Mapa final'!$Q$28),"")</f>
        <v/>
      </c>
      <c r="R39" s="55" t="str">
        <f>IF(AND('Mapa final'!$AA$29="Baja",'Mapa final'!$AC$29="Menor"),CONCATENATE("R4C",'Mapa final'!$Q$29),"")</f>
        <v/>
      </c>
      <c r="S39" s="55" t="str">
        <f>IF(AND('Mapa final'!$AA$30="Baja",'Mapa final'!$AC$30="Menor"),CONCATENATE("R4C",'Mapa final'!$Q$30),"")</f>
        <v/>
      </c>
      <c r="T39" s="55" t="str">
        <f>IF(AND('Mapa final'!$AA$31="Baja",'Mapa final'!$AC$31="Menor"),CONCATENATE("R4C",'Mapa final'!$Q$31),"")</f>
        <v/>
      </c>
      <c r="U39" s="56" t="str">
        <f>IF(AND('Mapa final'!$AA$32="Baja",'Mapa final'!$AC$32="Menor"),CONCATENATE("R4C",'Mapa final'!$Q$32),"")</f>
        <v/>
      </c>
      <c r="V39" s="54" t="str">
        <f>IF(AND('Mapa final'!$AA$27="Baja",'Mapa final'!$AC$27="Moderado"),CONCATENATE("R4C",'Mapa final'!$Q$27),"")</f>
        <v/>
      </c>
      <c r="W39" s="55" t="str">
        <f>IF(AND('Mapa final'!$AA$28="Baja",'Mapa final'!$AC$28="Moderado"),CONCATENATE("R4C",'Mapa final'!$Q$28),"")</f>
        <v/>
      </c>
      <c r="X39" s="55" t="str">
        <f>IF(AND('Mapa final'!$AA$29="Baja",'Mapa final'!$AC$29="Moderado"),CONCATENATE("R4C",'Mapa final'!$Q$29),"")</f>
        <v/>
      </c>
      <c r="Y39" s="55" t="str">
        <f>IF(AND('Mapa final'!$AA$30="Baja",'Mapa final'!$AC$30="Moderado"),CONCATENATE("R4C",'Mapa final'!$Q$30),"")</f>
        <v/>
      </c>
      <c r="Z39" s="55" t="str">
        <f>IF(AND('Mapa final'!$AA$31="Baja",'Mapa final'!$AC$31="Moderado"),CONCATENATE("R4C",'Mapa final'!$Q$31),"")</f>
        <v/>
      </c>
      <c r="AA39" s="56" t="str">
        <f>IF(AND('Mapa final'!$AA$32="Baja",'Mapa final'!$AC$32="Moderado"),CONCATENATE("R4C",'Mapa final'!$Q$32),"")</f>
        <v/>
      </c>
      <c r="AB39" s="38" t="str">
        <f>IF(AND('Mapa final'!$AA$27="Baja",'Mapa final'!$AC$27="Mayor"),CONCATENATE("R4C",'Mapa final'!$Q$27),"")</f>
        <v/>
      </c>
      <c r="AC39" s="39" t="str">
        <f>IF(AND('Mapa final'!$AA$28="Baja",'Mapa final'!$AC$28="Mayor"),CONCATENATE("R4C",'Mapa final'!$Q$28),"")</f>
        <v/>
      </c>
      <c r="AD39" s="39" t="str">
        <f>IF(AND('Mapa final'!$AA$29="Baja",'Mapa final'!$AC$29="Mayor"),CONCATENATE("R4C",'Mapa final'!$Q$29),"")</f>
        <v/>
      </c>
      <c r="AE39" s="39" t="str">
        <f>IF(AND('Mapa final'!$AA$30="Baja",'Mapa final'!$AC$30="Mayor"),CONCATENATE("R4C",'Mapa final'!$Q$30),"")</f>
        <v/>
      </c>
      <c r="AF39" s="39" t="str">
        <f>IF(AND('Mapa final'!$AA$31="Baja",'Mapa final'!$AC$31="Mayor"),CONCATENATE("R4C",'Mapa final'!$Q$31),"")</f>
        <v/>
      </c>
      <c r="AG39" s="40" t="str">
        <f>IF(AND('Mapa final'!$AA$32="Baja",'Mapa final'!$AC$32="Mayor"),CONCATENATE("R4C",'Mapa final'!$Q$32),"")</f>
        <v/>
      </c>
      <c r="AH39" s="41" t="str">
        <f>IF(AND('Mapa final'!$AA$27="Baja",'Mapa final'!$AC$27="Catastrófico"),CONCATENATE("R4C",'Mapa final'!$Q$27),"")</f>
        <v/>
      </c>
      <c r="AI39" s="42" t="str">
        <f>IF(AND('Mapa final'!$AA$28="Baja",'Mapa final'!$AC$28="Catastrófico"),CONCATENATE("R4C",'Mapa final'!$Q$28),"")</f>
        <v/>
      </c>
      <c r="AJ39" s="42" t="str">
        <f>IF(AND('Mapa final'!$AA$29="Baja",'Mapa final'!$AC$29="Catastrófico"),CONCATENATE("R4C",'Mapa final'!$Q$29),"")</f>
        <v/>
      </c>
      <c r="AK39" s="42" t="str">
        <f>IF(AND('Mapa final'!$AA$30="Baja",'Mapa final'!$AC$30="Catastrófico"),CONCATENATE("R4C",'Mapa final'!$Q$30),"")</f>
        <v/>
      </c>
      <c r="AL39" s="42" t="str">
        <f>IF(AND('Mapa final'!$AA$31="Baja",'Mapa final'!$AC$31="Catastrófico"),CONCATENATE("R4C",'Mapa final'!$Q$31),"")</f>
        <v/>
      </c>
      <c r="AM39" s="43" t="str">
        <f>IF(AND('Mapa final'!$AA$32="Baja",'Mapa final'!$AC$32="Catastrófico"),CONCATENATE("R4C",'Mapa final'!$Q$32),"")</f>
        <v/>
      </c>
      <c r="AN39" s="70"/>
      <c r="AO39" s="353"/>
      <c r="AP39" s="354"/>
      <c r="AQ39" s="354"/>
      <c r="AR39" s="354"/>
      <c r="AS39" s="354"/>
      <c r="AT39" s="355"/>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80"/>
      <c r="C40" s="280"/>
      <c r="D40" s="281"/>
      <c r="E40" s="321"/>
      <c r="F40" s="322"/>
      <c r="G40" s="322"/>
      <c r="H40" s="322"/>
      <c r="I40" s="338"/>
      <c r="J40" s="63" t="str">
        <f>IF(AND('Mapa final'!$AA$33="Baja",'Mapa final'!$AC$33="Leve"),CONCATENATE("R5C",'Mapa final'!$Q$33),"")</f>
        <v/>
      </c>
      <c r="K40" s="64" t="str">
        <f>IF(AND('Mapa final'!$AA$34="Baja",'Mapa final'!$AC$34="Leve"),CONCATENATE("R5C",'Mapa final'!$Q$34),"")</f>
        <v/>
      </c>
      <c r="L40" s="64" t="str">
        <f>IF(AND('Mapa final'!$AA$35="Baja",'Mapa final'!$AC$35="Leve"),CONCATENATE("R5C",'Mapa final'!$Q$35),"")</f>
        <v/>
      </c>
      <c r="M40" s="64" t="str">
        <f>IF(AND('Mapa final'!$AA$36="Baja",'Mapa final'!$AC$36="Leve"),CONCATENATE("R5C",'Mapa final'!$Q$36),"")</f>
        <v/>
      </c>
      <c r="N40" s="64" t="str">
        <f>IF(AND('Mapa final'!$AA$37="Baja",'Mapa final'!$AC$37="Leve"),CONCATENATE("R5C",'Mapa final'!$Q$37),"")</f>
        <v/>
      </c>
      <c r="O40" s="65" t="str">
        <f>IF(AND('Mapa final'!$AA$38="Baja",'Mapa final'!$AC$38="Leve"),CONCATENATE("R5C",'Mapa final'!$Q$38),"")</f>
        <v/>
      </c>
      <c r="P40" s="54" t="str">
        <f>IF(AND('Mapa final'!$AA$33="Baja",'Mapa final'!$AC$33="Menor"),CONCATENATE("R5C",'Mapa final'!$Q$33),"")</f>
        <v/>
      </c>
      <c r="Q40" s="55" t="str">
        <f>IF(AND('Mapa final'!$AA$34="Baja",'Mapa final'!$AC$34="Menor"),CONCATENATE("R5C",'Mapa final'!$Q$34),"")</f>
        <v/>
      </c>
      <c r="R40" s="55" t="str">
        <f>IF(AND('Mapa final'!$AA$35="Baja",'Mapa final'!$AC$35="Menor"),CONCATENATE("R5C",'Mapa final'!$Q$35),"")</f>
        <v/>
      </c>
      <c r="S40" s="55" t="str">
        <f>IF(AND('Mapa final'!$AA$36="Baja",'Mapa final'!$AC$36="Menor"),CONCATENATE("R5C",'Mapa final'!$Q$36),"")</f>
        <v/>
      </c>
      <c r="T40" s="55" t="str">
        <f>IF(AND('Mapa final'!$AA$37="Baja",'Mapa final'!$AC$37="Menor"),CONCATENATE("R5C",'Mapa final'!$Q$37),"")</f>
        <v/>
      </c>
      <c r="U40" s="56" t="str">
        <f>IF(AND('Mapa final'!$AA$38="Baja",'Mapa final'!$AC$38="Menor"),CONCATENATE("R5C",'Mapa final'!$Q$38),"")</f>
        <v/>
      </c>
      <c r="V40" s="54" t="str">
        <f>IF(AND('Mapa final'!$AA$33="Baja",'Mapa final'!$AC$33="Moderado"),CONCATENATE("R5C",'Mapa final'!$Q$33),"")</f>
        <v/>
      </c>
      <c r="W40" s="55" t="str">
        <f>IF(AND('Mapa final'!$AA$34="Baja",'Mapa final'!$AC$34="Moderado"),CONCATENATE("R5C",'Mapa final'!$Q$34),"")</f>
        <v/>
      </c>
      <c r="X40" s="55" t="str">
        <f>IF(AND('Mapa final'!$AA$35="Baja",'Mapa final'!$AC$35="Moderado"),CONCATENATE("R5C",'Mapa final'!$Q$35),"")</f>
        <v/>
      </c>
      <c r="Y40" s="55" t="str">
        <f>IF(AND('Mapa final'!$AA$36="Baja",'Mapa final'!$AC$36="Moderado"),CONCATENATE("R5C",'Mapa final'!$Q$36),"")</f>
        <v/>
      </c>
      <c r="Z40" s="55" t="str">
        <f>IF(AND('Mapa final'!$AA$37="Baja",'Mapa final'!$AC$37="Moderado"),CONCATENATE("R5C",'Mapa final'!$Q$37),"")</f>
        <v/>
      </c>
      <c r="AA40" s="56" t="str">
        <f>IF(AND('Mapa final'!$AA$38="Baja",'Mapa final'!$AC$38="Moderado"),CONCATENATE("R5C",'Mapa final'!$Q$38),"")</f>
        <v/>
      </c>
      <c r="AB40" s="38" t="str">
        <f>IF(AND('Mapa final'!$AA$33="Baja",'Mapa final'!$AC$33="Mayor"),CONCATENATE("R5C",'Mapa final'!$Q$33),"")</f>
        <v/>
      </c>
      <c r="AC40" s="39" t="str">
        <f>IF(AND('Mapa final'!$AA$34="Baja",'Mapa final'!$AC$34="Mayor"),CONCATENATE("R5C",'Mapa final'!$Q$34),"")</f>
        <v/>
      </c>
      <c r="AD40" s="44" t="str">
        <f>IF(AND('Mapa final'!$AA$35="Baja",'Mapa final'!$AC$35="Mayor"),CONCATENATE("R5C",'Mapa final'!$Q$35),"")</f>
        <v/>
      </c>
      <c r="AE40" s="44" t="str">
        <f>IF(AND('Mapa final'!$AA$36="Baja",'Mapa final'!$AC$36="Mayor"),CONCATENATE("R5C",'Mapa final'!$Q$36),"")</f>
        <v/>
      </c>
      <c r="AF40" s="44" t="str">
        <f>IF(AND('Mapa final'!$AA$37="Baja",'Mapa final'!$AC$37="Mayor"),CONCATENATE("R5C",'Mapa final'!$Q$37),"")</f>
        <v/>
      </c>
      <c r="AG40" s="40" t="str">
        <f>IF(AND('Mapa final'!$AA$38="Baja",'Mapa final'!$AC$38="Mayor"),CONCATENATE("R5C",'Mapa final'!$Q$38),"")</f>
        <v/>
      </c>
      <c r="AH40" s="41" t="str">
        <f>IF(AND('Mapa final'!$AA$33="Baja",'Mapa final'!$AC$33="Catastrófico"),CONCATENATE("R5C",'Mapa final'!$Q$33),"")</f>
        <v/>
      </c>
      <c r="AI40" s="42" t="str">
        <f>IF(AND('Mapa final'!$AA$34="Baja",'Mapa final'!$AC$34="Catastrófico"),CONCATENATE("R5C",'Mapa final'!$Q$34),"")</f>
        <v/>
      </c>
      <c r="AJ40" s="42" t="str">
        <f>IF(AND('Mapa final'!$AA$35="Baja",'Mapa final'!$AC$35="Catastrófico"),CONCATENATE("R5C",'Mapa final'!$Q$35),"")</f>
        <v/>
      </c>
      <c r="AK40" s="42" t="str">
        <f>IF(AND('Mapa final'!$AA$36="Baja",'Mapa final'!$AC$36="Catastrófico"),CONCATENATE("R5C",'Mapa final'!$Q$36),"")</f>
        <v/>
      </c>
      <c r="AL40" s="42" t="str">
        <f>IF(AND('Mapa final'!$AA$37="Baja",'Mapa final'!$AC$37="Catastrófico"),CONCATENATE("R5C",'Mapa final'!$Q$37),"")</f>
        <v/>
      </c>
      <c r="AM40" s="43" t="str">
        <f>IF(AND('Mapa final'!$AA$38="Baja",'Mapa final'!$AC$38="Catastrófico"),CONCATENATE("R5C",'Mapa final'!$Q$38),"")</f>
        <v/>
      </c>
      <c r="AN40" s="70"/>
      <c r="AO40" s="353"/>
      <c r="AP40" s="354"/>
      <c r="AQ40" s="354"/>
      <c r="AR40" s="354"/>
      <c r="AS40" s="354"/>
      <c r="AT40" s="355"/>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80"/>
      <c r="C41" s="280"/>
      <c r="D41" s="281"/>
      <c r="E41" s="321"/>
      <c r="F41" s="322"/>
      <c r="G41" s="322"/>
      <c r="H41" s="322"/>
      <c r="I41" s="338"/>
      <c r="J41" s="63" t="str">
        <f>IF(AND('Mapa final'!$AA$39="Baja",'Mapa final'!$AC$39="Leve"),CONCATENATE("R6C",'Mapa final'!$Q$39),"")</f>
        <v/>
      </c>
      <c r="K41" s="64" t="str">
        <f>IF(AND('Mapa final'!$AA$40="Baja",'Mapa final'!$AC$40="Leve"),CONCATENATE("R6C",'Mapa final'!$Q$40),"")</f>
        <v/>
      </c>
      <c r="L41" s="64" t="str">
        <f>IF(AND('Mapa final'!$AA$41="Baja",'Mapa final'!$AC$41="Leve"),CONCATENATE("R6C",'Mapa final'!$Q$41),"")</f>
        <v/>
      </c>
      <c r="M41" s="64" t="str">
        <f>IF(AND('Mapa final'!$AA$42="Baja",'Mapa final'!$AC$42="Leve"),CONCATENATE("R6C",'Mapa final'!$Q$42),"")</f>
        <v/>
      </c>
      <c r="N41" s="64" t="str">
        <f>IF(AND('Mapa final'!$AA$43="Baja",'Mapa final'!$AC$43="Leve"),CONCATENATE("R6C",'Mapa final'!$Q$43),"")</f>
        <v/>
      </c>
      <c r="O41" s="65" t="str">
        <f>IF(AND('Mapa final'!$AA$44="Baja",'Mapa final'!$AC$44="Leve"),CONCATENATE("R6C",'Mapa final'!$Q$44),"")</f>
        <v/>
      </c>
      <c r="P41" s="54" t="str">
        <f>IF(AND('Mapa final'!$AA$39="Baja",'Mapa final'!$AC$39="Menor"),CONCATENATE("R6C",'Mapa final'!$Q$39),"")</f>
        <v/>
      </c>
      <c r="Q41" s="55" t="str">
        <f>IF(AND('Mapa final'!$AA$40="Baja",'Mapa final'!$AC$40="Menor"),CONCATENATE("R6C",'Mapa final'!$Q$40),"")</f>
        <v/>
      </c>
      <c r="R41" s="55" t="str">
        <f>IF(AND('Mapa final'!$AA$41="Baja",'Mapa final'!$AC$41="Menor"),CONCATENATE("R6C",'Mapa final'!$Q$41),"")</f>
        <v/>
      </c>
      <c r="S41" s="55" t="str">
        <f>IF(AND('Mapa final'!$AA$42="Baja",'Mapa final'!$AC$42="Menor"),CONCATENATE("R6C",'Mapa final'!$Q$42),"")</f>
        <v/>
      </c>
      <c r="T41" s="55" t="str">
        <f>IF(AND('Mapa final'!$AA$43="Baja",'Mapa final'!$AC$43="Menor"),CONCATENATE("R6C",'Mapa final'!$Q$43),"")</f>
        <v/>
      </c>
      <c r="U41" s="56" t="str">
        <f>IF(AND('Mapa final'!$AA$44="Baja",'Mapa final'!$AC$44="Menor"),CONCATENATE("R6C",'Mapa final'!$Q$44),"")</f>
        <v/>
      </c>
      <c r="V41" s="54" t="str">
        <f>IF(AND('Mapa final'!$AA$39="Baja",'Mapa final'!$AC$39="Moderado"),CONCATENATE("R6C",'Mapa final'!$Q$39),"")</f>
        <v/>
      </c>
      <c r="W41" s="55" t="str">
        <f>IF(AND('Mapa final'!$AA$40="Baja",'Mapa final'!$AC$40="Moderado"),CONCATENATE("R6C",'Mapa final'!$Q$40),"")</f>
        <v/>
      </c>
      <c r="X41" s="55" t="str">
        <f>IF(AND('Mapa final'!$AA$41="Baja",'Mapa final'!$AC$41="Moderado"),CONCATENATE("R6C",'Mapa final'!$Q$41),"")</f>
        <v/>
      </c>
      <c r="Y41" s="55" t="str">
        <f>IF(AND('Mapa final'!$AA$42="Baja",'Mapa final'!$AC$42="Moderado"),CONCATENATE("R6C",'Mapa final'!$Q$42),"")</f>
        <v/>
      </c>
      <c r="Z41" s="55" t="str">
        <f>IF(AND('Mapa final'!$AA$43="Baja",'Mapa final'!$AC$43="Moderado"),CONCATENATE("R6C",'Mapa final'!$Q$43),"")</f>
        <v/>
      </c>
      <c r="AA41" s="56" t="str">
        <f>IF(AND('Mapa final'!$AA$44="Baja",'Mapa final'!$AC$44="Moderado"),CONCATENATE("R6C",'Mapa final'!$Q$44),"")</f>
        <v/>
      </c>
      <c r="AB41" s="38" t="str">
        <f>IF(AND('Mapa final'!$AA$39="Baja",'Mapa final'!$AC$39="Mayor"),CONCATENATE("R6C",'Mapa final'!$Q$39),"")</f>
        <v/>
      </c>
      <c r="AC41" s="39" t="str">
        <f>IF(AND('Mapa final'!$AA$40="Baja",'Mapa final'!$AC$40="Mayor"),CONCATENATE("R6C",'Mapa final'!$Q$40),"")</f>
        <v/>
      </c>
      <c r="AD41" s="44" t="str">
        <f>IF(AND('Mapa final'!$AA$41="Baja",'Mapa final'!$AC$41="Mayor"),CONCATENATE("R6C",'Mapa final'!$Q$41),"")</f>
        <v/>
      </c>
      <c r="AE41" s="44" t="str">
        <f>IF(AND('Mapa final'!$AA$42="Baja",'Mapa final'!$AC$42="Mayor"),CONCATENATE("R6C",'Mapa final'!$Q$42),"")</f>
        <v/>
      </c>
      <c r="AF41" s="44" t="str">
        <f>IF(AND('Mapa final'!$AA$43="Baja",'Mapa final'!$AC$43="Mayor"),CONCATENATE("R6C",'Mapa final'!$Q$43),"")</f>
        <v/>
      </c>
      <c r="AG41" s="40" t="str">
        <f>IF(AND('Mapa final'!$AA$44="Baja",'Mapa final'!$AC$44="Mayor"),CONCATENATE("R6C",'Mapa final'!$Q$44),"")</f>
        <v/>
      </c>
      <c r="AH41" s="41" t="str">
        <f>IF(AND('Mapa final'!$AA$39="Baja",'Mapa final'!$AC$39="Catastrófico"),CONCATENATE("R6C",'Mapa final'!$Q$39),"")</f>
        <v/>
      </c>
      <c r="AI41" s="42" t="str">
        <f>IF(AND('Mapa final'!$AA$40="Baja",'Mapa final'!$AC$40="Catastrófico"),CONCATENATE("R6C",'Mapa final'!$Q$40),"")</f>
        <v/>
      </c>
      <c r="AJ41" s="42" t="str">
        <f>IF(AND('Mapa final'!$AA$41="Baja",'Mapa final'!$AC$41="Catastrófico"),CONCATENATE("R6C",'Mapa final'!$Q$41),"")</f>
        <v/>
      </c>
      <c r="AK41" s="42" t="str">
        <f>IF(AND('Mapa final'!$AA$42="Baja",'Mapa final'!$AC$42="Catastrófico"),CONCATENATE("R6C",'Mapa final'!$Q$42),"")</f>
        <v/>
      </c>
      <c r="AL41" s="42" t="str">
        <f>IF(AND('Mapa final'!$AA$43="Baja",'Mapa final'!$AC$43="Catastrófico"),CONCATENATE("R6C",'Mapa final'!$Q$43),"")</f>
        <v/>
      </c>
      <c r="AM41" s="43" t="str">
        <f>IF(AND('Mapa final'!$AA$44="Baja",'Mapa final'!$AC$44="Catastrófico"),CONCATENATE("R6C",'Mapa final'!$Q$44),"")</f>
        <v/>
      </c>
      <c r="AN41" s="70"/>
      <c r="AO41" s="353"/>
      <c r="AP41" s="354"/>
      <c r="AQ41" s="354"/>
      <c r="AR41" s="354"/>
      <c r="AS41" s="354"/>
      <c r="AT41" s="355"/>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80"/>
      <c r="C42" s="280"/>
      <c r="D42" s="281"/>
      <c r="E42" s="321"/>
      <c r="F42" s="322"/>
      <c r="G42" s="322"/>
      <c r="H42" s="322"/>
      <c r="I42" s="338"/>
      <c r="J42" s="63" t="str">
        <f>IF(AND('Mapa final'!$AA$45="Baja",'Mapa final'!$AC$45="Leve"),CONCATENATE("R7C",'Mapa final'!$Q$45),"")</f>
        <v/>
      </c>
      <c r="K42" s="64" t="str">
        <f>IF(AND('Mapa final'!$AA$46="Baja",'Mapa final'!$AC$46="Leve"),CONCATENATE("R7C",'Mapa final'!$Q$46),"")</f>
        <v/>
      </c>
      <c r="L42" s="64" t="str">
        <f>IF(AND('Mapa final'!$AA$47="Baja",'Mapa final'!$AC$47="Leve"),CONCATENATE("R7C",'Mapa final'!$Q$47),"")</f>
        <v/>
      </c>
      <c r="M42" s="64" t="str">
        <f>IF(AND('Mapa final'!$AA$48="Baja",'Mapa final'!$AC$48="Leve"),CONCATENATE("R7C",'Mapa final'!$Q$48),"")</f>
        <v/>
      </c>
      <c r="N42" s="64" t="str">
        <f>IF(AND('Mapa final'!$AA$49="Baja",'Mapa final'!$AC$49="Leve"),CONCATENATE("R7C",'Mapa final'!$Q$49),"")</f>
        <v/>
      </c>
      <c r="O42" s="65" t="str">
        <f>IF(AND('Mapa final'!$AA$50="Baja",'Mapa final'!$AC$50="Leve"),CONCATENATE("R7C",'Mapa final'!$Q$50),"")</f>
        <v/>
      </c>
      <c r="P42" s="54" t="str">
        <f>IF(AND('Mapa final'!$AA$45="Baja",'Mapa final'!$AC$45="Menor"),CONCATENATE("R7C",'Mapa final'!$Q$45),"")</f>
        <v/>
      </c>
      <c r="Q42" s="55" t="str">
        <f>IF(AND('Mapa final'!$AA$46="Baja",'Mapa final'!$AC$46="Menor"),CONCATENATE("R7C",'Mapa final'!$Q$46),"")</f>
        <v/>
      </c>
      <c r="R42" s="55" t="str">
        <f>IF(AND('Mapa final'!$AA$47="Baja",'Mapa final'!$AC$47="Menor"),CONCATENATE("R7C",'Mapa final'!$Q$47),"")</f>
        <v/>
      </c>
      <c r="S42" s="55" t="str">
        <f>IF(AND('Mapa final'!$AA$48="Baja",'Mapa final'!$AC$48="Menor"),CONCATENATE("R7C",'Mapa final'!$Q$48),"")</f>
        <v/>
      </c>
      <c r="T42" s="55" t="str">
        <f>IF(AND('Mapa final'!$AA$49="Baja",'Mapa final'!$AC$49="Menor"),CONCATENATE("R7C",'Mapa final'!$Q$49),"")</f>
        <v/>
      </c>
      <c r="U42" s="56" t="str">
        <f>IF(AND('Mapa final'!$AA$50="Baja",'Mapa final'!$AC$50="Menor"),CONCATENATE("R7C",'Mapa final'!$Q$50),"")</f>
        <v/>
      </c>
      <c r="V42" s="54" t="str">
        <f>IF(AND('Mapa final'!$AA$45="Baja",'Mapa final'!$AC$45="Moderado"),CONCATENATE("R7C",'Mapa final'!$Q$45),"")</f>
        <v/>
      </c>
      <c r="W42" s="55" t="str">
        <f>IF(AND('Mapa final'!$AA$46="Baja",'Mapa final'!$AC$46="Moderado"),CONCATENATE("R7C",'Mapa final'!$Q$46),"")</f>
        <v/>
      </c>
      <c r="X42" s="55" t="str">
        <f>IF(AND('Mapa final'!$AA$47="Baja",'Mapa final'!$AC$47="Moderado"),CONCATENATE("R7C",'Mapa final'!$Q$47),"")</f>
        <v/>
      </c>
      <c r="Y42" s="55" t="str">
        <f>IF(AND('Mapa final'!$AA$48="Baja",'Mapa final'!$AC$48="Moderado"),CONCATENATE("R7C",'Mapa final'!$Q$48),"")</f>
        <v/>
      </c>
      <c r="Z42" s="55" t="str">
        <f>IF(AND('Mapa final'!$AA$49="Baja",'Mapa final'!$AC$49="Moderado"),CONCATENATE("R7C",'Mapa final'!$Q$49),"")</f>
        <v/>
      </c>
      <c r="AA42" s="56" t="str">
        <f>IF(AND('Mapa final'!$AA$50="Baja",'Mapa final'!$AC$50="Moderado"),CONCATENATE("R7C",'Mapa final'!$Q$50),"")</f>
        <v/>
      </c>
      <c r="AB42" s="38" t="str">
        <f>IF(AND('Mapa final'!$AA$45="Baja",'Mapa final'!$AC$45="Mayor"),CONCATENATE("R7C",'Mapa final'!$Q$45),"")</f>
        <v/>
      </c>
      <c r="AC42" s="39" t="str">
        <f>IF(AND('Mapa final'!$AA$46="Baja",'Mapa final'!$AC$46="Mayor"),CONCATENATE("R7C",'Mapa final'!$Q$46),"")</f>
        <v/>
      </c>
      <c r="AD42" s="44" t="str">
        <f>IF(AND('Mapa final'!$AA$47="Baja",'Mapa final'!$AC$47="Mayor"),CONCATENATE("R7C",'Mapa final'!$Q$47),"")</f>
        <v/>
      </c>
      <c r="AE42" s="44" t="str">
        <f>IF(AND('Mapa final'!$AA$48="Baja",'Mapa final'!$AC$48="Mayor"),CONCATENATE("R7C",'Mapa final'!$Q$48),"")</f>
        <v/>
      </c>
      <c r="AF42" s="44" t="str">
        <f>IF(AND('Mapa final'!$AA$49="Baja",'Mapa final'!$AC$49="Mayor"),CONCATENATE("R7C",'Mapa final'!$Q$49),"")</f>
        <v/>
      </c>
      <c r="AG42" s="40" t="str">
        <f>IF(AND('Mapa final'!$AA$50="Baja",'Mapa final'!$AC$50="Mayor"),CONCATENATE("R7C",'Mapa final'!$Q$50),"")</f>
        <v/>
      </c>
      <c r="AH42" s="41" t="str">
        <f>IF(AND('Mapa final'!$AA$45="Baja",'Mapa final'!$AC$45="Catastrófico"),CONCATENATE("R7C",'Mapa final'!$Q$45),"")</f>
        <v/>
      </c>
      <c r="AI42" s="42" t="str">
        <f>IF(AND('Mapa final'!$AA$46="Baja",'Mapa final'!$AC$46="Catastrófico"),CONCATENATE("R7C",'Mapa final'!$Q$46),"")</f>
        <v/>
      </c>
      <c r="AJ42" s="42" t="str">
        <f>IF(AND('Mapa final'!$AA$47="Baja",'Mapa final'!$AC$47="Catastrófico"),CONCATENATE("R7C",'Mapa final'!$Q$47),"")</f>
        <v/>
      </c>
      <c r="AK42" s="42" t="str">
        <f>IF(AND('Mapa final'!$AA$48="Baja",'Mapa final'!$AC$48="Catastrófico"),CONCATENATE("R7C",'Mapa final'!$Q$48),"")</f>
        <v/>
      </c>
      <c r="AL42" s="42" t="str">
        <f>IF(AND('Mapa final'!$AA$49="Baja",'Mapa final'!$AC$49="Catastrófico"),CONCATENATE("R7C",'Mapa final'!$Q$49),"")</f>
        <v/>
      </c>
      <c r="AM42" s="43" t="str">
        <f>IF(AND('Mapa final'!$AA$50="Baja",'Mapa final'!$AC$50="Catastrófico"),CONCATENATE("R7C",'Mapa final'!$Q$50),"")</f>
        <v/>
      </c>
      <c r="AN42" s="70"/>
      <c r="AO42" s="353"/>
      <c r="AP42" s="354"/>
      <c r="AQ42" s="354"/>
      <c r="AR42" s="354"/>
      <c r="AS42" s="354"/>
      <c r="AT42" s="355"/>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80"/>
      <c r="C43" s="280"/>
      <c r="D43" s="281"/>
      <c r="E43" s="321"/>
      <c r="F43" s="322"/>
      <c r="G43" s="322"/>
      <c r="H43" s="322"/>
      <c r="I43" s="338"/>
      <c r="J43" s="63" t="str">
        <f>IF(AND('Mapa final'!$AA$51="Baja",'Mapa final'!$AC$51="Leve"),CONCATENATE("R8C",'Mapa final'!$Q$51),"")</f>
        <v/>
      </c>
      <c r="K43" s="64" t="str">
        <f>IF(AND('Mapa final'!$AA$52="Baja",'Mapa final'!$AC$52="Leve"),CONCATENATE("R8C",'Mapa final'!$Q$52),"")</f>
        <v/>
      </c>
      <c r="L43" s="64" t="str">
        <f>IF(AND('Mapa final'!$AA$53="Baja",'Mapa final'!$AC$53="Leve"),CONCATENATE("R8C",'Mapa final'!$Q$53),"")</f>
        <v/>
      </c>
      <c r="M43" s="64" t="str">
        <f>IF(AND('Mapa final'!$AA$54="Baja",'Mapa final'!$AC$54="Leve"),CONCATENATE("R8C",'Mapa final'!$Q$54),"")</f>
        <v/>
      </c>
      <c r="N43" s="64" t="str">
        <f>IF(AND('Mapa final'!$AA$55="Baja",'Mapa final'!$AC$55="Leve"),CONCATENATE("R8C",'Mapa final'!$Q$55),"")</f>
        <v/>
      </c>
      <c r="O43" s="65" t="str">
        <f>IF(AND('Mapa final'!$AA$56="Baja",'Mapa final'!$AC$56="Leve"),CONCATENATE("R8C",'Mapa final'!$Q$56),"")</f>
        <v/>
      </c>
      <c r="P43" s="54" t="str">
        <f>IF(AND('Mapa final'!$AA$51="Baja",'Mapa final'!$AC$51="Menor"),CONCATENATE("R8C",'Mapa final'!$Q$51),"")</f>
        <v/>
      </c>
      <c r="Q43" s="55" t="str">
        <f>IF(AND('Mapa final'!$AA$52="Baja",'Mapa final'!$AC$52="Menor"),CONCATENATE("R8C",'Mapa final'!$Q$52),"")</f>
        <v/>
      </c>
      <c r="R43" s="55" t="str">
        <f>IF(AND('Mapa final'!$AA$53="Baja",'Mapa final'!$AC$53="Menor"),CONCATENATE("R8C",'Mapa final'!$Q$53),"")</f>
        <v/>
      </c>
      <c r="S43" s="55" t="str">
        <f>IF(AND('Mapa final'!$AA$54="Baja",'Mapa final'!$AC$54="Menor"),CONCATENATE("R8C",'Mapa final'!$Q$54),"")</f>
        <v/>
      </c>
      <c r="T43" s="55" t="str">
        <f>IF(AND('Mapa final'!$AA$55="Baja",'Mapa final'!$AC$55="Menor"),CONCATENATE("R8C",'Mapa final'!$Q$55),"")</f>
        <v/>
      </c>
      <c r="U43" s="56" t="str">
        <f>IF(AND('Mapa final'!$AA$56="Baja",'Mapa final'!$AC$56="Menor"),CONCATENATE("R8C",'Mapa final'!$Q$56),"")</f>
        <v/>
      </c>
      <c r="V43" s="54" t="str">
        <f>IF(AND('Mapa final'!$AA$51="Baja",'Mapa final'!$AC$51="Moderado"),CONCATENATE("R8C",'Mapa final'!$Q$51),"")</f>
        <v/>
      </c>
      <c r="W43" s="55" t="str">
        <f>IF(AND('Mapa final'!$AA$52="Baja",'Mapa final'!$AC$52="Moderado"),CONCATENATE("R8C",'Mapa final'!$Q$52),"")</f>
        <v/>
      </c>
      <c r="X43" s="55" t="str">
        <f>IF(AND('Mapa final'!$AA$53="Baja",'Mapa final'!$AC$53="Moderado"),CONCATENATE("R8C",'Mapa final'!$Q$53),"")</f>
        <v/>
      </c>
      <c r="Y43" s="55" t="str">
        <f>IF(AND('Mapa final'!$AA$54="Baja",'Mapa final'!$AC$54="Moderado"),CONCATENATE("R8C",'Mapa final'!$Q$54),"")</f>
        <v/>
      </c>
      <c r="Z43" s="55" t="str">
        <f>IF(AND('Mapa final'!$AA$55="Baja",'Mapa final'!$AC$55="Moderado"),CONCATENATE("R8C",'Mapa final'!$Q$55),"")</f>
        <v/>
      </c>
      <c r="AA43" s="56" t="str">
        <f>IF(AND('Mapa final'!$AA$56="Baja",'Mapa final'!$AC$56="Moderado"),CONCATENATE("R8C",'Mapa final'!$Q$56),"")</f>
        <v/>
      </c>
      <c r="AB43" s="38" t="str">
        <f>IF(AND('Mapa final'!$AA$51="Baja",'Mapa final'!$AC$51="Mayor"),CONCATENATE("R8C",'Mapa final'!$Q$51),"")</f>
        <v/>
      </c>
      <c r="AC43" s="39" t="str">
        <f>IF(AND('Mapa final'!$AA$52="Baja",'Mapa final'!$AC$52="Mayor"),CONCATENATE("R8C",'Mapa final'!$Q$52),"")</f>
        <v/>
      </c>
      <c r="AD43" s="44" t="str">
        <f>IF(AND('Mapa final'!$AA$53="Baja",'Mapa final'!$AC$53="Mayor"),CONCATENATE("R8C",'Mapa final'!$Q$53),"")</f>
        <v/>
      </c>
      <c r="AE43" s="44" t="str">
        <f>IF(AND('Mapa final'!$AA$54="Baja",'Mapa final'!$AC$54="Mayor"),CONCATENATE("R8C",'Mapa final'!$Q$54),"")</f>
        <v/>
      </c>
      <c r="AF43" s="44" t="str">
        <f>IF(AND('Mapa final'!$AA$55="Baja",'Mapa final'!$AC$55="Mayor"),CONCATENATE("R8C",'Mapa final'!$Q$55),"")</f>
        <v/>
      </c>
      <c r="AG43" s="40" t="str">
        <f>IF(AND('Mapa final'!$AA$56="Baja",'Mapa final'!$AC$56="Mayor"),CONCATENATE("R8C",'Mapa final'!$Q$56),"")</f>
        <v/>
      </c>
      <c r="AH43" s="41" t="str">
        <f>IF(AND('Mapa final'!$AA$51="Baja",'Mapa final'!$AC$51="Catastrófico"),CONCATENATE("R8C",'Mapa final'!$Q$51),"")</f>
        <v/>
      </c>
      <c r="AI43" s="42" t="str">
        <f>IF(AND('Mapa final'!$AA$52="Baja",'Mapa final'!$AC$52="Catastrófico"),CONCATENATE("R8C",'Mapa final'!$Q$52),"")</f>
        <v/>
      </c>
      <c r="AJ43" s="42" t="str">
        <f>IF(AND('Mapa final'!$AA$53="Baja",'Mapa final'!$AC$53="Catastrófico"),CONCATENATE("R8C",'Mapa final'!$Q$53),"")</f>
        <v/>
      </c>
      <c r="AK43" s="42" t="str">
        <f>IF(AND('Mapa final'!$AA$54="Baja",'Mapa final'!$AC$54="Catastrófico"),CONCATENATE("R8C",'Mapa final'!$Q$54),"")</f>
        <v/>
      </c>
      <c r="AL43" s="42" t="str">
        <f>IF(AND('Mapa final'!$AA$55="Baja",'Mapa final'!$AC$55="Catastrófico"),CONCATENATE("R8C",'Mapa final'!$Q$55),"")</f>
        <v/>
      </c>
      <c r="AM43" s="43" t="str">
        <f>IF(AND('Mapa final'!$AA$56="Baja",'Mapa final'!$AC$56="Catastrófico"),CONCATENATE("R8C",'Mapa final'!$Q$56),"")</f>
        <v/>
      </c>
      <c r="AN43" s="70"/>
      <c r="AO43" s="353"/>
      <c r="AP43" s="354"/>
      <c r="AQ43" s="354"/>
      <c r="AR43" s="354"/>
      <c r="AS43" s="354"/>
      <c r="AT43" s="355"/>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80"/>
      <c r="C44" s="280"/>
      <c r="D44" s="281"/>
      <c r="E44" s="321"/>
      <c r="F44" s="322"/>
      <c r="G44" s="322"/>
      <c r="H44" s="322"/>
      <c r="I44" s="338"/>
      <c r="J44" s="63" t="str">
        <f>IF(AND('Mapa final'!$AA$57="Baja",'Mapa final'!$AC$57="Leve"),CONCATENATE("R9C",'Mapa final'!$Q$57),"")</f>
        <v/>
      </c>
      <c r="K44" s="64" t="str">
        <f>IF(AND('Mapa final'!$AA$58="Baja",'Mapa final'!$AC$58="Leve"),CONCATENATE("R9C",'Mapa final'!$Q$58),"")</f>
        <v/>
      </c>
      <c r="L44" s="64" t="str">
        <f>IF(AND('Mapa final'!$AA$59="Baja",'Mapa final'!$AC$59="Leve"),CONCATENATE("R9C",'Mapa final'!$Q$59),"")</f>
        <v/>
      </c>
      <c r="M44" s="64" t="str">
        <f>IF(AND('Mapa final'!$AA$60="Baja",'Mapa final'!$AC$60="Leve"),CONCATENATE("R9C",'Mapa final'!$Q$60),"")</f>
        <v/>
      </c>
      <c r="N44" s="64" t="str">
        <f>IF(AND('Mapa final'!$AA$61="Baja",'Mapa final'!$AC$61="Leve"),CONCATENATE("R9C",'Mapa final'!$Q$61),"")</f>
        <v/>
      </c>
      <c r="O44" s="65" t="str">
        <f>IF(AND('Mapa final'!$AA$62="Baja",'Mapa final'!$AC$62="Leve"),CONCATENATE("R9C",'Mapa final'!$Q$62),"")</f>
        <v/>
      </c>
      <c r="P44" s="54" t="str">
        <f>IF(AND('Mapa final'!$AA$57="Baja",'Mapa final'!$AC$57="Menor"),CONCATENATE("R9C",'Mapa final'!$Q$57),"")</f>
        <v/>
      </c>
      <c r="Q44" s="55" t="str">
        <f>IF(AND('Mapa final'!$AA$58="Baja",'Mapa final'!$AC$58="Menor"),CONCATENATE("R9C",'Mapa final'!$Q$58),"")</f>
        <v/>
      </c>
      <c r="R44" s="55" t="str">
        <f>IF(AND('Mapa final'!$AA$59="Baja",'Mapa final'!$AC$59="Menor"),CONCATENATE("R9C",'Mapa final'!$Q$59),"")</f>
        <v/>
      </c>
      <c r="S44" s="55" t="str">
        <f>IF(AND('Mapa final'!$AA$60="Baja",'Mapa final'!$AC$60="Menor"),CONCATENATE("R9C",'Mapa final'!$Q$60),"")</f>
        <v/>
      </c>
      <c r="T44" s="55" t="str">
        <f>IF(AND('Mapa final'!$AA$61="Baja",'Mapa final'!$AC$61="Menor"),CONCATENATE("R9C",'Mapa final'!$Q$61),"")</f>
        <v/>
      </c>
      <c r="U44" s="56" t="str">
        <f>IF(AND('Mapa final'!$AA$62="Baja",'Mapa final'!$AC$62="Menor"),CONCATENATE("R9C",'Mapa final'!$Q$62),"")</f>
        <v/>
      </c>
      <c r="V44" s="54" t="str">
        <f>IF(AND('Mapa final'!$AA$57="Baja",'Mapa final'!$AC$57="Moderado"),CONCATENATE("R9C",'Mapa final'!$Q$57),"")</f>
        <v/>
      </c>
      <c r="W44" s="55" t="str">
        <f>IF(AND('Mapa final'!$AA$58="Baja",'Mapa final'!$AC$58="Moderado"),CONCATENATE("R9C",'Mapa final'!$Q$58),"")</f>
        <v/>
      </c>
      <c r="X44" s="55" t="str">
        <f>IF(AND('Mapa final'!$AA$59="Baja",'Mapa final'!$AC$59="Moderado"),CONCATENATE("R9C",'Mapa final'!$Q$59),"")</f>
        <v/>
      </c>
      <c r="Y44" s="55" t="str">
        <f>IF(AND('Mapa final'!$AA$60="Baja",'Mapa final'!$AC$60="Moderado"),CONCATENATE("R9C",'Mapa final'!$Q$60),"")</f>
        <v/>
      </c>
      <c r="Z44" s="55" t="str">
        <f>IF(AND('Mapa final'!$AA$61="Baja",'Mapa final'!$AC$61="Moderado"),CONCATENATE("R9C",'Mapa final'!$Q$61),"")</f>
        <v/>
      </c>
      <c r="AA44" s="56" t="str">
        <f>IF(AND('Mapa final'!$AA$62="Baja",'Mapa final'!$AC$62="Moderado"),CONCATENATE("R9C",'Mapa final'!$Q$62),"")</f>
        <v/>
      </c>
      <c r="AB44" s="38" t="str">
        <f>IF(AND('Mapa final'!$AA$57="Baja",'Mapa final'!$AC$57="Mayor"),CONCATENATE("R9C",'Mapa final'!$Q$57),"")</f>
        <v/>
      </c>
      <c r="AC44" s="39" t="str">
        <f>IF(AND('Mapa final'!$AA$58="Baja",'Mapa final'!$AC$58="Mayor"),CONCATENATE("R9C",'Mapa final'!$Q$58),"")</f>
        <v/>
      </c>
      <c r="AD44" s="44" t="str">
        <f>IF(AND('Mapa final'!$AA$59="Baja",'Mapa final'!$AC$59="Mayor"),CONCATENATE("R9C",'Mapa final'!$Q$59),"")</f>
        <v/>
      </c>
      <c r="AE44" s="44" t="str">
        <f>IF(AND('Mapa final'!$AA$60="Baja",'Mapa final'!$AC$60="Mayor"),CONCATENATE("R9C",'Mapa final'!$Q$60),"")</f>
        <v/>
      </c>
      <c r="AF44" s="44" t="str">
        <f>IF(AND('Mapa final'!$AA$61="Baja",'Mapa final'!$AC$61="Mayor"),CONCATENATE("R9C",'Mapa final'!$Q$61),"")</f>
        <v/>
      </c>
      <c r="AG44" s="40" t="str">
        <f>IF(AND('Mapa final'!$AA$62="Baja",'Mapa final'!$AC$62="Mayor"),CONCATENATE("R9C",'Mapa final'!$Q$62),"")</f>
        <v/>
      </c>
      <c r="AH44" s="41" t="str">
        <f>IF(AND('Mapa final'!$AA$57="Baja",'Mapa final'!$AC$57="Catastrófico"),CONCATENATE("R9C",'Mapa final'!$Q$57),"")</f>
        <v/>
      </c>
      <c r="AI44" s="42" t="str">
        <f>IF(AND('Mapa final'!$AA$58="Baja",'Mapa final'!$AC$58="Catastrófico"),CONCATENATE("R9C",'Mapa final'!$Q$58),"")</f>
        <v/>
      </c>
      <c r="AJ44" s="42" t="str">
        <f>IF(AND('Mapa final'!$AA$59="Baja",'Mapa final'!$AC$59="Catastrófico"),CONCATENATE("R9C",'Mapa final'!$Q$59),"")</f>
        <v/>
      </c>
      <c r="AK44" s="42" t="str">
        <f>IF(AND('Mapa final'!$AA$60="Baja",'Mapa final'!$AC$60="Catastrófico"),CONCATENATE("R9C",'Mapa final'!$Q$60),"")</f>
        <v/>
      </c>
      <c r="AL44" s="42" t="str">
        <f>IF(AND('Mapa final'!$AA$61="Baja",'Mapa final'!$AC$61="Catastrófico"),CONCATENATE("R9C",'Mapa final'!$Q$61),"")</f>
        <v/>
      </c>
      <c r="AM44" s="43" t="str">
        <f>IF(AND('Mapa final'!$AA$62="Baja",'Mapa final'!$AC$62="Catastrófico"),CONCATENATE("R9C",'Mapa final'!$Q$62),"")</f>
        <v/>
      </c>
      <c r="AN44" s="70"/>
      <c r="AO44" s="353"/>
      <c r="AP44" s="354"/>
      <c r="AQ44" s="354"/>
      <c r="AR44" s="354"/>
      <c r="AS44" s="354"/>
      <c r="AT44" s="355"/>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80"/>
      <c r="C45" s="280"/>
      <c r="D45" s="281"/>
      <c r="E45" s="324"/>
      <c r="F45" s="325"/>
      <c r="G45" s="325"/>
      <c r="H45" s="325"/>
      <c r="I45" s="325"/>
      <c r="J45" s="66" t="str">
        <f>IF(AND('Mapa final'!$AA$63="Baja",'Mapa final'!$AC$63="Leve"),CONCATENATE("R10C",'Mapa final'!$Q$63),"")</f>
        <v/>
      </c>
      <c r="K45" s="67" t="str">
        <f>IF(AND('Mapa final'!$AA$64="Baja",'Mapa final'!$AC$64="Leve"),CONCATENATE("R10C",'Mapa final'!$Q$64),"")</f>
        <v/>
      </c>
      <c r="L45" s="67" t="str">
        <f>IF(AND('Mapa final'!$AA$65="Baja",'Mapa final'!$AC$65="Leve"),CONCATENATE("R10C",'Mapa final'!$Q$65),"")</f>
        <v/>
      </c>
      <c r="M45" s="67" t="str">
        <f>IF(AND('Mapa final'!$AA$66="Baja",'Mapa final'!$AC$66="Leve"),CONCATENATE("R10C",'Mapa final'!$Q$66),"")</f>
        <v/>
      </c>
      <c r="N45" s="67" t="str">
        <f>IF(AND('Mapa final'!$AA$67="Baja",'Mapa final'!$AC$67="Leve"),CONCATENATE("R10C",'Mapa final'!$Q$67),"")</f>
        <v/>
      </c>
      <c r="O45" s="68" t="str">
        <f>IF(AND('Mapa final'!$AA$68="Baja",'Mapa final'!$AC$68="Leve"),CONCATENATE("R10C",'Mapa final'!$Q$68),"")</f>
        <v/>
      </c>
      <c r="P45" s="54" t="str">
        <f>IF(AND('Mapa final'!$AA$63="Baja",'Mapa final'!$AC$63="Menor"),CONCATENATE("R10C",'Mapa final'!$Q$63),"")</f>
        <v/>
      </c>
      <c r="Q45" s="55" t="str">
        <f>IF(AND('Mapa final'!$AA$64="Baja",'Mapa final'!$AC$64="Menor"),CONCATENATE("R10C",'Mapa final'!$Q$64),"")</f>
        <v/>
      </c>
      <c r="R45" s="55" t="str">
        <f>IF(AND('Mapa final'!$AA$65="Baja",'Mapa final'!$AC$65="Menor"),CONCATENATE("R10C",'Mapa final'!$Q$65),"")</f>
        <v/>
      </c>
      <c r="S45" s="55" t="str">
        <f>IF(AND('Mapa final'!$AA$66="Baja",'Mapa final'!$AC$66="Menor"),CONCATENATE("R10C",'Mapa final'!$Q$66),"")</f>
        <v/>
      </c>
      <c r="T45" s="55" t="str">
        <f>IF(AND('Mapa final'!$AA$67="Baja",'Mapa final'!$AC$67="Menor"),CONCATENATE("R10C",'Mapa final'!$Q$67),"")</f>
        <v/>
      </c>
      <c r="U45" s="56" t="str">
        <f>IF(AND('Mapa final'!$AA$68="Baja",'Mapa final'!$AC$68="Menor"),CONCATENATE("R10C",'Mapa final'!$Q$68),"")</f>
        <v/>
      </c>
      <c r="V45" s="57" t="str">
        <f>IF(AND('Mapa final'!$AA$63="Baja",'Mapa final'!$AC$63="Moderado"),CONCATENATE("R10C",'Mapa final'!$Q$63),"")</f>
        <v/>
      </c>
      <c r="W45" s="58" t="str">
        <f>IF(AND('Mapa final'!$AA$64="Baja",'Mapa final'!$AC$64="Moderado"),CONCATENATE("R10C",'Mapa final'!$Q$64),"")</f>
        <v/>
      </c>
      <c r="X45" s="58" t="str">
        <f>IF(AND('Mapa final'!$AA$65="Baja",'Mapa final'!$AC$65="Moderado"),CONCATENATE("R10C",'Mapa final'!$Q$65),"")</f>
        <v/>
      </c>
      <c r="Y45" s="58" t="str">
        <f>IF(AND('Mapa final'!$AA$66="Baja",'Mapa final'!$AC$66="Moderado"),CONCATENATE("R10C",'Mapa final'!$Q$66),"")</f>
        <v/>
      </c>
      <c r="Z45" s="58" t="str">
        <f>IF(AND('Mapa final'!$AA$67="Baja",'Mapa final'!$AC$67="Moderado"),CONCATENATE("R10C",'Mapa final'!$Q$67),"")</f>
        <v/>
      </c>
      <c r="AA45" s="59" t="str">
        <f>IF(AND('Mapa final'!$AA$68="Baja",'Mapa final'!$AC$68="Moderado"),CONCATENATE("R10C",'Mapa final'!$Q$68),"")</f>
        <v/>
      </c>
      <c r="AB45" s="45" t="str">
        <f>IF(AND('Mapa final'!$AA$63="Baja",'Mapa final'!$AC$63="Mayor"),CONCATENATE("R10C",'Mapa final'!$Q$63),"")</f>
        <v/>
      </c>
      <c r="AC45" s="46" t="str">
        <f>IF(AND('Mapa final'!$AA$64="Baja",'Mapa final'!$AC$64="Mayor"),CONCATENATE("R10C",'Mapa final'!$Q$64),"")</f>
        <v/>
      </c>
      <c r="AD45" s="46" t="str">
        <f>IF(AND('Mapa final'!$AA$65="Baja",'Mapa final'!$AC$65="Mayor"),CONCATENATE("R10C",'Mapa final'!$Q$65),"")</f>
        <v/>
      </c>
      <c r="AE45" s="46" t="str">
        <f>IF(AND('Mapa final'!$AA$66="Baja",'Mapa final'!$AC$66="Mayor"),CONCATENATE("R10C",'Mapa final'!$Q$66),"")</f>
        <v/>
      </c>
      <c r="AF45" s="46" t="str">
        <f>IF(AND('Mapa final'!$AA$67="Baja",'Mapa final'!$AC$67="Mayor"),CONCATENATE("R10C",'Mapa final'!$Q$67),"")</f>
        <v/>
      </c>
      <c r="AG45" s="47" t="str">
        <f>IF(AND('Mapa final'!$AA$68="Baja",'Mapa final'!$AC$68="Mayor"),CONCATENATE("R10C",'Mapa final'!$Q$68),"")</f>
        <v/>
      </c>
      <c r="AH45" s="48" t="str">
        <f>IF(AND('Mapa final'!$AA$63="Baja",'Mapa final'!$AC$63="Catastrófico"),CONCATENATE("R10C",'Mapa final'!$Q$63),"")</f>
        <v/>
      </c>
      <c r="AI45" s="49" t="str">
        <f>IF(AND('Mapa final'!$AA$64="Baja",'Mapa final'!$AC$64="Catastrófico"),CONCATENATE("R10C",'Mapa final'!$Q$64),"")</f>
        <v/>
      </c>
      <c r="AJ45" s="49" t="str">
        <f>IF(AND('Mapa final'!$AA$65="Baja",'Mapa final'!$AC$65="Catastrófico"),CONCATENATE("R10C",'Mapa final'!$Q$65),"")</f>
        <v/>
      </c>
      <c r="AK45" s="49" t="str">
        <f>IF(AND('Mapa final'!$AA$66="Baja",'Mapa final'!$AC$66="Catastrófico"),CONCATENATE("R10C",'Mapa final'!$Q$66),"")</f>
        <v/>
      </c>
      <c r="AL45" s="49" t="str">
        <f>IF(AND('Mapa final'!$AA$67="Baja",'Mapa final'!$AC$67="Catastrófico"),CONCATENATE("R10C",'Mapa final'!$Q$67),"")</f>
        <v/>
      </c>
      <c r="AM45" s="50" t="str">
        <f>IF(AND('Mapa final'!$AA$68="Baja",'Mapa final'!$AC$68="Catastrófico"),CONCATENATE("R10C",'Mapa final'!$Q$68),"")</f>
        <v/>
      </c>
      <c r="AN45" s="70"/>
      <c r="AO45" s="356"/>
      <c r="AP45" s="357"/>
      <c r="AQ45" s="357"/>
      <c r="AR45" s="357"/>
      <c r="AS45" s="357"/>
      <c r="AT45" s="358"/>
    </row>
    <row r="46" spans="1:80" ht="46.5" customHeight="1" x14ac:dyDescent="0.35">
      <c r="A46" s="70"/>
      <c r="B46" s="280"/>
      <c r="C46" s="280"/>
      <c r="D46" s="281"/>
      <c r="E46" s="318" t="s">
        <v>109</v>
      </c>
      <c r="F46" s="319"/>
      <c r="G46" s="319"/>
      <c r="H46" s="319"/>
      <c r="I46" s="320"/>
      <c r="J46" s="60" t="str">
        <f>IF(AND('Mapa final'!$AA$9="Muy Baja",'Mapa final'!$AC$9="Leve"),CONCATENATE("R1C",'Mapa final'!$Q$9),"")</f>
        <v/>
      </c>
      <c r="K46" s="61" t="str">
        <f>IF(AND('Mapa final'!$AA$10="Muy Baja",'Mapa final'!$AC$10="Leve"),CONCATENATE("R1C",'Mapa final'!$Q$10),"")</f>
        <v/>
      </c>
      <c r="L46" s="61" t="str">
        <f>IF(AND('Mapa final'!$AA$11="Muy Baja",'Mapa final'!$AC$11="Leve"),CONCATENATE("R1C",'Mapa final'!$Q$11),"")</f>
        <v/>
      </c>
      <c r="M46" s="61" t="str">
        <f>IF(AND('Mapa final'!$AA$12="Muy Baja",'Mapa final'!$AC$12="Leve"),CONCATENATE("R1C",'Mapa final'!$Q$12),"")</f>
        <v/>
      </c>
      <c r="N46" s="61" t="str">
        <f>IF(AND('Mapa final'!$AA$13="Muy Baja",'Mapa final'!$AC$13="Leve"),CONCATENATE("R1C",'Mapa final'!$Q$13),"")</f>
        <v/>
      </c>
      <c r="O46" s="62" t="str">
        <f>IF(AND('Mapa final'!$AA$14="Muy Baja",'Mapa final'!$AC$14="Leve"),CONCATENATE("R1C",'Mapa final'!$Q$14),"")</f>
        <v/>
      </c>
      <c r="P46" s="60" t="str">
        <f>IF(AND('Mapa final'!$AA$9="Muy Baja",'Mapa final'!$AC$9="Menor"),CONCATENATE("R1C",'Mapa final'!$Q$9),"")</f>
        <v/>
      </c>
      <c r="Q46" s="61" t="str">
        <f>IF(AND('Mapa final'!$AA$10="Muy Baja",'Mapa final'!$AC$10="Menor"),CONCATENATE("R1C",'Mapa final'!$Q$10),"")</f>
        <v/>
      </c>
      <c r="R46" s="61" t="str">
        <f>IF(AND('Mapa final'!$AA$11="Muy Baja",'Mapa final'!$AC$11="Menor"),CONCATENATE("R1C",'Mapa final'!$Q$11),"")</f>
        <v/>
      </c>
      <c r="S46" s="61" t="str">
        <f>IF(AND('Mapa final'!$AA$12="Muy Baja",'Mapa final'!$AC$12="Menor"),CONCATENATE("R1C",'Mapa final'!$Q$12),"")</f>
        <v/>
      </c>
      <c r="T46" s="61" t="str">
        <f>IF(AND('Mapa final'!$AA$13="Muy Baja",'Mapa final'!$AC$13="Menor"),CONCATENATE("R1C",'Mapa final'!$Q$13),"")</f>
        <v/>
      </c>
      <c r="U46" s="62" t="str">
        <f>IF(AND('Mapa final'!$AA$14="Muy Baja",'Mapa final'!$AC$14="Menor"),CONCATENATE("R1C",'Mapa final'!$Q$14),"")</f>
        <v/>
      </c>
      <c r="V46" s="51" t="str">
        <f>IF(AND('Mapa final'!$AA$9="Muy Baja",'Mapa final'!$AC$9="Moderado"),CONCATENATE("R1C",'Mapa final'!$Q$9),"")</f>
        <v/>
      </c>
      <c r="W46" s="69" t="str">
        <f>IF(AND('Mapa final'!$AA$10="Muy Baja",'Mapa final'!$AC$10="Moderado"),CONCATENATE("R1C",'Mapa final'!$Q$10),"")</f>
        <v/>
      </c>
      <c r="X46" s="52" t="str">
        <f>IF(AND('Mapa final'!$AA$11="Muy Baja",'Mapa final'!$AC$11="Moderado"),CONCATENATE("R1C",'Mapa final'!$Q$11),"")</f>
        <v/>
      </c>
      <c r="Y46" s="52" t="str">
        <f>IF(AND('Mapa final'!$AA$12="Muy Baja",'Mapa final'!$AC$12="Moderado"),CONCATENATE("R1C",'Mapa final'!$Q$12),"")</f>
        <v/>
      </c>
      <c r="Z46" s="52" t="str">
        <f>IF(AND('Mapa final'!$AA$13="Muy Baja",'Mapa final'!$AC$13="Moderado"),CONCATENATE("R1C",'Mapa final'!$Q$13),"")</f>
        <v/>
      </c>
      <c r="AA46" s="53" t="str">
        <f>IF(AND('Mapa final'!$AA$14="Muy Baja",'Mapa final'!$AC$14="Moderado"),CONCATENATE("R1C",'Mapa final'!$Q$14),"")</f>
        <v/>
      </c>
      <c r="AB46" s="32" t="str">
        <f>IF(AND('Mapa final'!$AA$9="Muy Baja",'Mapa final'!$AC$9="Mayor"),CONCATENATE("R1C",'Mapa final'!$Q$9),"")</f>
        <v/>
      </c>
      <c r="AC46" s="33" t="str">
        <f>IF(AND('Mapa final'!$AA$10="Muy Baja",'Mapa final'!$AC$10="Mayor"),CONCATENATE("R1C",'Mapa final'!$Q$10),"")</f>
        <v/>
      </c>
      <c r="AD46" s="33" t="str">
        <f>IF(AND('Mapa final'!$AA$11="Muy Baja",'Mapa final'!$AC$11="Mayor"),CONCATENATE("R1C",'Mapa final'!$Q$11),"")</f>
        <v/>
      </c>
      <c r="AE46" s="33" t="str">
        <f>IF(AND('Mapa final'!$AA$12="Muy Baja",'Mapa final'!$AC$12="Mayor"),CONCATENATE("R1C",'Mapa final'!$Q$12),"")</f>
        <v/>
      </c>
      <c r="AF46" s="33" t="str">
        <f>IF(AND('Mapa final'!$AA$13="Muy Baja",'Mapa final'!$AC$13="Mayor"),CONCATENATE("R1C",'Mapa final'!$Q$13),"")</f>
        <v/>
      </c>
      <c r="AG46" s="34" t="str">
        <f>IF(AND('Mapa final'!$AA$14="Muy Baja",'Mapa final'!$AC$14="Mayor"),CONCATENATE("R1C",'Mapa final'!$Q$14),"")</f>
        <v/>
      </c>
      <c r="AH46" s="35" t="str">
        <f>IF(AND('Mapa final'!$AA$9="Muy Baja",'Mapa final'!$AC$9="Catastrófico"),CONCATENATE("R1C",'Mapa final'!$Q$9),"")</f>
        <v/>
      </c>
      <c r="AI46" s="36" t="str">
        <f>IF(AND('Mapa final'!$AA$10="Muy Baja",'Mapa final'!$AC$10="Catastrófico"),CONCATENATE("R1C",'Mapa final'!$Q$10),"")</f>
        <v/>
      </c>
      <c r="AJ46" s="36" t="str">
        <f>IF(AND('Mapa final'!$AA$11="Muy Baja",'Mapa final'!$AC$11="Catastrófico"),CONCATENATE("R1C",'Mapa final'!$Q$11),"")</f>
        <v/>
      </c>
      <c r="AK46" s="36" t="str">
        <f>IF(AND('Mapa final'!$AA$12="Muy Baja",'Mapa final'!$AC$12="Catastrófico"),CONCATENATE("R1C",'Mapa final'!$Q$12),"")</f>
        <v/>
      </c>
      <c r="AL46" s="36" t="str">
        <f>IF(AND('Mapa final'!$AA$13="Muy Baja",'Mapa final'!$AC$13="Catastrófico"),CONCATENATE("R1C",'Mapa final'!$Q$13),"")</f>
        <v/>
      </c>
      <c r="AM46" s="37" t="str">
        <f>IF(AND('Mapa final'!$AA$14="Muy Baja",'Mapa final'!$AC$14="Catastrófico"),CONCATENATE("R1C",'Mapa final'!$Q$14),"")</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46.5" customHeight="1" x14ac:dyDescent="0.25">
      <c r="A47" s="70"/>
      <c r="B47" s="280"/>
      <c r="C47" s="280"/>
      <c r="D47" s="281"/>
      <c r="E47" s="337"/>
      <c r="F47" s="338"/>
      <c r="G47" s="338"/>
      <c r="H47" s="338"/>
      <c r="I47" s="323"/>
      <c r="J47" s="63" t="str">
        <f ca="1">IF(AND('Mapa final'!$AA$15="Muy Baja",'Mapa final'!$AC$15="Leve"),CONCATENATE("R2C",'Mapa final'!$Q$15),"")</f>
        <v>R2C1</v>
      </c>
      <c r="K47" s="64" t="str">
        <f>IF(AND('Mapa final'!$AA$16="Muy Baja",'Mapa final'!$AC$16="Leve"),CONCATENATE("R2C",'Mapa final'!$Q$16),"")</f>
        <v/>
      </c>
      <c r="L47" s="64" t="str">
        <f>IF(AND('Mapa final'!$AA$17="Muy Baja",'Mapa final'!$AC$17="Leve"),CONCATENATE("R2C",'Mapa final'!$Q$17),"")</f>
        <v/>
      </c>
      <c r="M47" s="64" t="str">
        <f>IF(AND('Mapa final'!$AA$18="Muy Baja",'Mapa final'!$AC$18="Leve"),CONCATENATE("R2C",'Mapa final'!$Q$18),"")</f>
        <v/>
      </c>
      <c r="N47" s="64" t="str">
        <f>IF(AND('Mapa final'!$AA$19="Muy Baja",'Mapa final'!$AC$19="Leve"),CONCATENATE("R2C",'Mapa final'!$Q$19),"")</f>
        <v/>
      </c>
      <c r="O47" s="65" t="str">
        <f>IF(AND('Mapa final'!$AA$20="Muy Baja",'Mapa final'!$AC$20="Leve"),CONCATENATE("R2C",'Mapa final'!$Q$20),"")</f>
        <v/>
      </c>
      <c r="P47" s="63" t="str">
        <f ca="1">IF(AND('Mapa final'!$AA$15="Muy Baja",'Mapa final'!$AC$15="Menor"),CONCATENATE("R2C",'Mapa final'!$Q$15),"")</f>
        <v/>
      </c>
      <c r="Q47" s="64" t="str">
        <f>IF(AND('Mapa final'!$AA$16="Muy Baja",'Mapa final'!$AC$16="Menor"),CONCATENATE("R2C",'Mapa final'!$Q$16),"")</f>
        <v/>
      </c>
      <c r="R47" s="64" t="str">
        <f>IF(AND('Mapa final'!$AA$17="Muy Baja",'Mapa final'!$AC$17="Menor"),CONCATENATE("R2C",'Mapa final'!$Q$17),"")</f>
        <v/>
      </c>
      <c r="S47" s="64" t="str">
        <f>IF(AND('Mapa final'!$AA$18="Muy Baja",'Mapa final'!$AC$18="Menor"),CONCATENATE("R2C",'Mapa final'!$Q$18),"")</f>
        <v/>
      </c>
      <c r="T47" s="64" t="str">
        <f>IF(AND('Mapa final'!$AA$19="Muy Baja",'Mapa final'!$AC$19="Menor"),CONCATENATE("R2C",'Mapa final'!$Q$19),"")</f>
        <v/>
      </c>
      <c r="U47" s="65" t="str">
        <f>IF(AND('Mapa final'!$AA$20="Muy Baja",'Mapa final'!$AC$20="Menor"),CONCATENATE("R2C",'Mapa final'!$Q$20),"")</f>
        <v/>
      </c>
      <c r="V47" s="54" t="str">
        <f ca="1">IF(AND('Mapa final'!$AA$15="Muy Baja",'Mapa final'!$AC$15="Moderado"),CONCATENATE("R2C",'Mapa final'!$Q$15),"")</f>
        <v/>
      </c>
      <c r="W47" s="55" t="str">
        <f>IF(AND('Mapa final'!$AA$16="Muy Baja",'Mapa final'!$AC$16="Moderado"),CONCATENATE("R2C",'Mapa final'!$Q$16),"")</f>
        <v/>
      </c>
      <c r="X47" s="55" t="str">
        <f>IF(AND('Mapa final'!$AA$17="Muy Baja",'Mapa final'!$AC$17="Moderado"),CONCATENATE("R2C",'Mapa final'!$Q$17),"")</f>
        <v/>
      </c>
      <c r="Y47" s="55" t="str">
        <f>IF(AND('Mapa final'!$AA$18="Muy Baja",'Mapa final'!$AC$18="Moderado"),CONCATENATE("R2C",'Mapa final'!$Q$18),"")</f>
        <v/>
      </c>
      <c r="Z47" s="55" t="str">
        <f>IF(AND('Mapa final'!$AA$19="Muy Baja",'Mapa final'!$AC$19="Moderado"),CONCATENATE("R2C",'Mapa final'!$Q$19),"")</f>
        <v/>
      </c>
      <c r="AA47" s="56" t="str">
        <f>IF(AND('Mapa final'!$AA$20="Muy Baja",'Mapa final'!$AC$20="Moderado"),CONCATENATE("R2C",'Mapa final'!$Q$20),"")</f>
        <v/>
      </c>
      <c r="AB47" s="38" t="str">
        <f ca="1">IF(AND('Mapa final'!$AA$15="Muy Baja",'Mapa final'!$AC$15="Mayor"),CONCATENATE("R2C",'Mapa final'!$Q$15),"")</f>
        <v/>
      </c>
      <c r="AC47" s="39" t="str">
        <f>IF(AND('Mapa final'!$AA$16="Muy Baja",'Mapa final'!$AC$16="Mayor"),CONCATENATE("R2C",'Mapa final'!$Q$16),"")</f>
        <v/>
      </c>
      <c r="AD47" s="39" t="str">
        <f>IF(AND('Mapa final'!$AA$17="Muy Baja",'Mapa final'!$AC$17="Mayor"),CONCATENATE("R2C",'Mapa final'!$Q$17),"")</f>
        <v/>
      </c>
      <c r="AE47" s="39" t="str">
        <f>IF(AND('Mapa final'!$AA$18="Muy Baja",'Mapa final'!$AC$18="Mayor"),CONCATENATE("R2C",'Mapa final'!$Q$18),"")</f>
        <v/>
      </c>
      <c r="AF47" s="39" t="str">
        <f>IF(AND('Mapa final'!$AA$19="Muy Baja",'Mapa final'!$AC$19="Mayor"),CONCATENATE("R2C",'Mapa final'!$Q$19),"")</f>
        <v/>
      </c>
      <c r="AG47" s="40" t="str">
        <f>IF(AND('Mapa final'!$AA$20="Muy Baja",'Mapa final'!$AC$20="Mayor"),CONCATENATE("R2C",'Mapa final'!$Q$20),"")</f>
        <v/>
      </c>
      <c r="AH47" s="41" t="str">
        <f ca="1">IF(AND('Mapa final'!$AA$15="Muy Baja",'Mapa final'!$AC$15="Catastrófico"),CONCATENATE("R2C",'Mapa final'!$Q$15),"")</f>
        <v/>
      </c>
      <c r="AI47" s="42" t="str">
        <f>IF(AND('Mapa final'!$AA$16="Muy Baja",'Mapa final'!$AC$16="Catastrófico"),CONCATENATE("R2C",'Mapa final'!$Q$16),"")</f>
        <v/>
      </c>
      <c r="AJ47" s="42" t="str">
        <f>IF(AND('Mapa final'!$AA$17="Muy Baja",'Mapa final'!$AC$17="Catastrófico"),CONCATENATE("R2C",'Mapa final'!$Q$17),"")</f>
        <v/>
      </c>
      <c r="AK47" s="42" t="str">
        <f>IF(AND('Mapa final'!$AA$18="Muy Baja",'Mapa final'!$AC$18="Catastrófico"),CONCATENATE("R2C",'Mapa final'!$Q$18),"")</f>
        <v/>
      </c>
      <c r="AL47" s="42" t="str">
        <f>IF(AND('Mapa final'!$AA$19="Muy Baja",'Mapa final'!$AC$19="Catastrófico"),CONCATENATE("R2C",'Mapa final'!$Q$19),"")</f>
        <v/>
      </c>
      <c r="AM47" s="43" t="str">
        <f>IF(AND('Mapa final'!$AA$20="Muy Baja",'Mapa final'!$AC$20="Catastrófico"),CONCATENATE("R2C",'Mapa final'!$Q$20),"")</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80"/>
      <c r="C48" s="280"/>
      <c r="D48" s="281"/>
      <c r="E48" s="337"/>
      <c r="F48" s="338"/>
      <c r="G48" s="338"/>
      <c r="H48" s="338"/>
      <c r="I48" s="323"/>
      <c r="J48" s="63" t="str">
        <f>IF(AND('Mapa final'!$AA$21="Muy Baja",'Mapa final'!$AC$21="Leve"),CONCATENATE("R3C",'Mapa final'!$Q$21),"")</f>
        <v/>
      </c>
      <c r="K48" s="64" t="str">
        <f>IF(AND('Mapa final'!$AA$22="Muy Baja",'Mapa final'!$AC$22="Leve"),CONCATENATE("R3C",'Mapa final'!$Q$22),"")</f>
        <v/>
      </c>
      <c r="L48" s="64" t="str">
        <f>IF(AND('Mapa final'!$AA$23="Muy Baja",'Mapa final'!$AC$23="Leve"),CONCATENATE("R3C",'Mapa final'!$Q$23),"")</f>
        <v/>
      </c>
      <c r="M48" s="64" t="str">
        <f>IF(AND('Mapa final'!$AA$24="Muy Baja",'Mapa final'!$AC$24="Leve"),CONCATENATE("R3C",'Mapa final'!$Q$24),"")</f>
        <v/>
      </c>
      <c r="N48" s="64" t="str">
        <f>IF(AND('Mapa final'!$AA$25="Muy Baja",'Mapa final'!$AC$25="Leve"),CONCATENATE("R3C",'Mapa final'!$Q$25),"")</f>
        <v/>
      </c>
      <c r="O48" s="65" t="str">
        <f>IF(AND('Mapa final'!$AA$26="Muy Baja",'Mapa final'!$AC$26="Leve"),CONCATENATE("R3C",'Mapa final'!$Q$26),"")</f>
        <v/>
      </c>
      <c r="P48" s="63" t="str">
        <f>IF(AND('Mapa final'!$AA$21="Muy Baja",'Mapa final'!$AC$21="Menor"),CONCATENATE("R3C",'Mapa final'!$Q$21),"")</f>
        <v/>
      </c>
      <c r="Q48" s="64" t="str">
        <f>IF(AND('Mapa final'!$AA$22="Muy Baja",'Mapa final'!$AC$22="Menor"),CONCATENATE("R3C",'Mapa final'!$Q$22),"")</f>
        <v/>
      </c>
      <c r="R48" s="64" t="str">
        <f>IF(AND('Mapa final'!$AA$23="Muy Baja",'Mapa final'!$AC$23="Menor"),CONCATENATE("R3C",'Mapa final'!$Q$23),"")</f>
        <v/>
      </c>
      <c r="S48" s="64" t="str">
        <f>IF(AND('Mapa final'!$AA$24="Muy Baja",'Mapa final'!$AC$24="Menor"),CONCATENATE("R3C",'Mapa final'!$Q$24),"")</f>
        <v/>
      </c>
      <c r="T48" s="64" t="str">
        <f>IF(AND('Mapa final'!$AA$25="Muy Baja",'Mapa final'!$AC$25="Menor"),CONCATENATE("R3C",'Mapa final'!$Q$25),"")</f>
        <v/>
      </c>
      <c r="U48" s="65" t="str">
        <f>IF(AND('Mapa final'!$AA$26="Muy Baja",'Mapa final'!$AC$26="Menor"),CONCATENATE("R3C",'Mapa final'!$Q$26),"")</f>
        <v/>
      </c>
      <c r="V48" s="54" t="str">
        <f>IF(AND('Mapa final'!$AA$21="Muy Baja",'Mapa final'!$AC$21="Moderado"),CONCATENATE("R3C",'Mapa final'!$Q$21),"")</f>
        <v/>
      </c>
      <c r="W48" s="55" t="str">
        <f>IF(AND('Mapa final'!$AA$22="Muy Baja",'Mapa final'!$AC$22="Moderado"),CONCATENATE("R3C",'Mapa final'!$Q$22),"")</f>
        <v/>
      </c>
      <c r="X48" s="55" t="str">
        <f>IF(AND('Mapa final'!$AA$23="Muy Baja",'Mapa final'!$AC$23="Moderado"),CONCATENATE("R3C",'Mapa final'!$Q$23),"")</f>
        <v/>
      </c>
      <c r="Y48" s="55" t="str">
        <f>IF(AND('Mapa final'!$AA$24="Muy Baja",'Mapa final'!$AC$24="Moderado"),CONCATENATE("R3C",'Mapa final'!$Q$24),"")</f>
        <v/>
      </c>
      <c r="Z48" s="55" t="str">
        <f>IF(AND('Mapa final'!$AA$25="Muy Baja",'Mapa final'!$AC$25="Moderado"),CONCATENATE("R3C",'Mapa final'!$Q$25),"")</f>
        <v/>
      </c>
      <c r="AA48" s="56" t="str">
        <f>IF(AND('Mapa final'!$AA$26="Muy Baja",'Mapa final'!$AC$26="Moderado"),CONCATENATE("R3C",'Mapa final'!$Q$26),"")</f>
        <v/>
      </c>
      <c r="AB48" s="38" t="str">
        <f>IF(AND('Mapa final'!$AA$21="Muy Baja",'Mapa final'!$AC$21="Mayor"),CONCATENATE("R3C",'Mapa final'!$Q$21),"")</f>
        <v/>
      </c>
      <c r="AC48" s="39" t="str">
        <f>IF(AND('Mapa final'!$AA$22="Muy Baja",'Mapa final'!$AC$22="Mayor"),CONCATENATE("R3C",'Mapa final'!$Q$22),"")</f>
        <v/>
      </c>
      <c r="AD48" s="39" t="str">
        <f>IF(AND('Mapa final'!$AA$23="Muy Baja",'Mapa final'!$AC$23="Mayor"),CONCATENATE("R3C",'Mapa final'!$Q$23),"")</f>
        <v/>
      </c>
      <c r="AE48" s="39" t="str">
        <f>IF(AND('Mapa final'!$AA$24="Muy Baja",'Mapa final'!$AC$24="Mayor"),CONCATENATE("R3C",'Mapa final'!$Q$24),"")</f>
        <v/>
      </c>
      <c r="AF48" s="39" t="str">
        <f>IF(AND('Mapa final'!$AA$25="Muy Baja",'Mapa final'!$AC$25="Mayor"),CONCATENATE("R3C",'Mapa final'!$Q$25),"")</f>
        <v/>
      </c>
      <c r="AG48" s="40" t="str">
        <f>IF(AND('Mapa final'!$AA$26="Muy Baja",'Mapa final'!$AC$26="Mayor"),CONCATENATE("R3C",'Mapa final'!$Q$26),"")</f>
        <v/>
      </c>
      <c r="AH48" s="41" t="str">
        <f>IF(AND('Mapa final'!$AA$21="Muy Baja",'Mapa final'!$AC$21="Catastrófico"),CONCATENATE("R3C",'Mapa final'!$Q$21),"")</f>
        <v/>
      </c>
      <c r="AI48" s="42" t="str">
        <f>IF(AND('Mapa final'!$AA$22="Muy Baja",'Mapa final'!$AC$22="Catastrófico"),CONCATENATE("R3C",'Mapa final'!$Q$22),"")</f>
        <v/>
      </c>
      <c r="AJ48" s="42" t="str">
        <f>IF(AND('Mapa final'!$AA$23="Muy Baja",'Mapa final'!$AC$23="Catastrófico"),CONCATENATE("R3C",'Mapa final'!$Q$23),"")</f>
        <v/>
      </c>
      <c r="AK48" s="42" t="str">
        <f>IF(AND('Mapa final'!$AA$24="Muy Baja",'Mapa final'!$AC$24="Catastrófico"),CONCATENATE("R3C",'Mapa final'!$Q$24),"")</f>
        <v/>
      </c>
      <c r="AL48" s="42" t="str">
        <f>IF(AND('Mapa final'!$AA$25="Muy Baja",'Mapa final'!$AC$25="Catastrófico"),CONCATENATE("R3C",'Mapa final'!$Q$25),"")</f>
        <v/>
      </c>
      <c r="AM48" s="43" t="str">
        <f>IF(AND('Mapa final'!$AA$26="Muy Baja",'Mapa final'!$AC$26="Catastrófico"),CONCATENATE("R3C",'Mapa final'!$Q$26),"")</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80"/>
      <c r="C49" s="280"/>
      <c r="D49" s="281"/>
      <c r="E49" s="321"/>
      <c r="F49" s="322"/>
      <c r="G49" s="322"/>
      <c r="H49" s="322"/>
      <c r="I49" s="323"/>
      <c r="J49" s="63" t="str">
        <f>IF(AND('Mapa final'!$AA$27="Muy Baja",'Mapa final'!$AC$27="Leve"),CONCATENATE("R4C",'Mapa final'!$Q$27),"")</f>
        <v/>
      </c>
      <c r="K49" s="64" t="str">
        <f>IF(AND('Mapa final'!$AA$28="Muy Baja",'Mapa final'!$AC$28="Leve"),CONCATENATE("R4C",'Mapa final'!$Q$28),"")</f>
        <v/>
      </c>
      <c r="L49" s="64" t="str">
        <f>IF(AND('Mapa final'!$AA$29="Muy Baja",'Mapa final'!$AC$29="Leve"),CONCATENATE("R4C",'Mapa final'!$Q$29),"")</f>
        <v/>
      </c>
      <c r="M49" s="64" t="str">
        <f>IF(AND('Mapa final'!$AA$30="Muy Baja",'Mapa final'!$AC$30="Leve"),CONCATENATE("R4C",'Mapa final'!$Q$30),"")</f>
        <v/>
      </c>
      <c r="N49" s="64" t="str">
        <f>IF(AND('Mapa final'!$AA$31="Muy Baja",'Mapa final'!$AC$31="Leve"),CONCATENATE("R4C",'Mapa final'!$Q$31),"")</f>
        <v/>
      </c>
      <c r="O49" s="65" t="str">
        <f>IF(AND('Mapa final'!$AA$32="Muy Baja",'Mapa final'!$AC$32="Leve"),CONCATENATE("R4C",'Mapa final'!$Q$32),"")</f>
        <v/>
      </c>
      <c r="P49" s="63" t="str">
        <f>IF(AND('Mapa final'!$AA$27="Muy Baja",'Mapa final'!$AC$27="Menor"),CONCATENATE("R4C",'Mapa final'!$Q$27),"")</f>
        <v/>
      </c>
      <c r="Q49" s="64" t="str">
        <f>IF(AND('Mapa final'!$AA$28="Muy Baja",'Mapa final'!$AC$28="Menor"),CONCATENATE("R4C",'Mapa final'!$Q$28),"")</f>
        <v/>
      </c>
      <c r="R49" s="64" t="str">
        <f>IF(AND('Mapa final'!$AA$29="Muy Baja",'Mapa final'!$AC$29="Menor"),CONCATENATE("R4C",'Mapa final'!$Q$29),"")</f>
        <v/>
      </c>
      <c r="S49" s="64" t="str">
        <f>IF(AND('Mapa final'!$AA$30="Muy Baja",'Mapa final'!$AC$30="Menor"),CONCATENATE("R4C",'Mapa final'!$Q$30),"")</f>
        <v/>
      </c>
      <c r="T49" s="64" t="str">
        <f>IF(AND('Mapa final'!$AA$31="Muy Baja",'Mapa final'!$AC$31="Menor"),CONCATENATE("R4C",'Mapa final'!$Q$31),"")</f>
        <v/>
      </c>
      <c r="U49" s="65" t="str">
        <f>IF(AND('Mapa final'!$AA$32="Muy Baja",'Mapa final'!$AC$32="Menor"),CONCATENATE("R4C",'Mapa final'!$Q$32),"")</f>
        <v/>
      </c>
      <c r="V49" s="54" t="str">
        <f>IF(AND('Mapa final'!$AA$27="Muy Baja",'Mapa final'!$AC$27="Moderado"),CONCATENATE("R4C",'Mapa final'!$Q$27),"")</f>
        <v/>
      </c>
      <c r="W49" s="55" t="str">
        <f>IF(AND('Mapa final'!$AA$28="Muy Baja",'Mapa final'!$AC$28="Moderado"),CONCATENATE("R4C",'Mapa final'!$Q$28),"")</f>
        <v/>
      </c>
      <c r="X49" s="55" t="str">
        <f>IF(AND('Mapa final'!$AA$29="Muy Baja",'Mapa final'!$AC$29="Moderado"),CONCATENATE("R4C",'Mapa final'!$Q$29),"")</f>
        <v/>
      </c>
      <c r="Y49" s="55" t="str">
        <f>IF(AND('Mapa final'!$AA$30="Muy Baja",'Mapa final'!$AC$30="Moderado"),CONCATENATE("R4C",'Mapa final'!$Q$30),"")</f>
        <v/>
      </c>
      <c r="Z49" s="55" t="str">
        <f>IF(AND('Mapa final'!$AA$31="Muy Baja",'Mapa final'!$AC$31="Moderado"),CONCATENATE("R4C",'Mapa final'!$Q$31),"")</f>
        <v/>
      </c>
      <c r="AA49" s="56" t="str">
        <f>IF(AND('Mapa final'!$AA$32="Muy Baja",'Mapa final'!$AC$32="Moderado"),CONCATENATE("R4C",'Mapa final'!$Q$32),"")</f>
        <v/>
      </c>
      <c r="AB49" s="38" t="str">
        <f>IF(AND('Mapa final'!$AA$27="Muy Baja",'Mapa final'!$AC$27="Mayor"),CONCATENATE("R4C",'Mapa final'!$Q$27),"")</f>
        <v/>
      </c>
      <c r="AC49" s="39" t="str">
        <f>IF(AND('Mapa final'!$AA$28="Muy Baja",'Mapa final'!$AC$28="Mayor"),CONCATENATE("R4C",'Mapa final'!$Q$28),"")</f>
        <v/>
      </c>
      <c r="AD49" s="39" t="str">
        <f>IF(AND('Mapa final'!$AA$29="Muy Baja",'Mapa final'!$AC$29="Mayor"),CONCATENATE("R4C",'Mapa final'!$Q$29),"")</f>
        <v/>
      </c>
      <c r="AE49" s="39" t="str">
        <f>IF(AND('Mapa final'!$AA$30="Muy Baja",'Mapa final'!$AC$30="Mayor"),CONCATENATE("R4C",'Mapa final'!$Q$30),"")</f>
        <v/>
      </c>
      <c r="AF49" s="39" t="str">
        <f>IF(AND('Mapa final'!$AA$31="Muy Baja",'Mapa final'!$AC$31="Mayor"),CONCATENATE("R4C",'Mapa final'!$Q$31),"")</f>
        <v/>
      </c>
      <c r="AG49" s="40" t="str">
        <f>IF(AND('Mapa final'!$AA$32="Muy Baja",'Mapa final'!$AC$32="Mayor"),CONCATENATE("R4C",'Mapa final'!$Q$32),"")</f>
        <v/>
      </c>
      <c r="AH49" s="41" t="str">
        <f>IF(AND('Mapa final'!$AA$27="Muy Baja",'Mapa final'!$AC$27="Catastrófico"),CONCATENATE("R4C",'Mapa final'!$Q$27),"")</f>
        <v/>
      </c>
      <c r="AI49" s="42" t="str">
        <f>IF(AND('Mapa final'!$AA$28="Muy Baja",'Mapa final'!$AC$28="Catastrófico"),CONCATENATE("R4C",'Mapa final'!$Q$28),"")</f>
        <v/>
      </c>
      <c r="AJ49" s="42" t="str">
        <f>IF(AND('Mapa final'!$AA$29="Muy Baja",'Mapa final'!$AC$29="Catastrófico"),CONCATENATE("R4C",'Mapa final'!$Q$29),"")</f>
        <v/>
      </c>
      <c r="AK49" s="42" t="str">
        <f>IF(AND('Mapa final'!$AA$30="Muy Baja",'Mapa final'!$AC$30="Catastrófico"),CONCATENATE("R4C",'Mapa final'!$Q$30),"")</f>
        <v/>
      </c>
      <c r="AL49" s="42" t="str">
        <f>IF(AND('Mapa final'!$AA$31="Muy Baja",'Mapa final'!$AC$31="Catastrófico"),CONCATENATE("R4C",'Mapa final'!$Q$31),"")</f>
        <v/>
      </c>
      <c r="AM49" s="43" t="str">
        <f>IF(AND('Mapa final'!$AA$32="Muy Baja",'Mapa final'!$AC$32="Catastrófico"),CONCATENATE("R4C",'Mapa final'!$Q$32),"")</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80"/>
      <c r="C50" s="280"/>
      <c r="D50" s="281"/>
      <c r="E50" s="321"/>
      <c r="F50" s="322"/>
      <c r="G50" s="322"/>
      <c r="H50" s="322"/>
      <c r="I50" s="323"/>
      <c r="J50" s="63" t="str">
        <f>IF(AND('Mapa final'!$AA$33="Muy Baja",'Mapa final'!$AC$33="Leve"),CONCATENATE("R5C",'Mapa final'!$Q$33),"")</f>
        <v/>
      </c>
      <c r="K50" s="64" t="str">
        <f>IF(AND('Mapa final'!$AA$34="Muy Baja",'Mapa final'!$AC$34="Leve"),CONCATENATE("R5C",'Mapa final'!$Q$34),"")</f>
        <v/>
      </c>
      <c r="L50" s="64" t="str">
        <f>IF(AND('Mapa final'!$AA$35="Muy Baja",'Mapa final'!$AC$35="Leve"),CONCATENATE("R5C",'Mapa final'!$Q$35),"")</f>
        <v/>
      </c>
      <c r="M50" s="64" t="str">
        <f>IF(AND('Mapa final'!$AA$36="Muy Baja",'Mapa final'!$AC$36="Leve"),CONCATENATE("R5C",'Mapa final'!$Q$36),"")</f>
        <v/>
      </c>
      <c r="N50" s="64" t="str">
        <f>IF(AND('Mapa final'!$AA$37="Muy Baja",'Mapa final'!$AC$37="Leve"),CONCATENATE("R5C",'Mapa final'!$Q$37),"")</f>
        <v/>
      </c>
      <c r="O50" s="65" t="str">
        <f>IF(AND('Mapa final'!$AA$38="Muy Baja",'Mapa final'!$AC$38="Leve"),CONCATENATE("R5C",'Mapa final'!$Q$38),"")</f>
        <v/>
      </c>
      <c r="P50" s="63" t="str">
        <f>IF(AND('Mapa final'!$AA$33="Muy Baja",'Mapa final'!$AC$33="Menor"),CONCATENATE("R5C",'Mapa final'!$Q$33),"")</f>
        <v/>
      </c>
      <c r="Q50" s="64" t="str">
        <f>IF(AND('Mapa final'!$AA$34="Muy Baja",'Mapa final'!$AC$34="Menor"),CONCATENATE("R5C",'Mapa final'!$Q$34),"")</f>
        <v/>
      </c>
      <c r="R50" s="64" t="str">
        <f>IF(AND('Mapa final'!$AA$35="Muy Baja",'Mapa final'!$AC$35="Menor"),CONCATENATE("R5C",'Mapa final'!$Q$35),"")</f>
        <v/>
      </c>
      <c r="S50" s="64" t="str">
        <f>IF(AND('Mapa final'!$AA$36="Muy Baja",'Mapa final'!$AC$36="Menor"),CONCATENATE("R5C",'Mapa final'!$Q$36),"")</f>
        <v/>
      </c>
      <c r="T50" s="64" t="str">
        <f>IF(AND('Mapa final'!$AA$37="Muy Baja",'Mapa final'!$AC$37="Menor"),CONCATENATE("R5C",'Mapa final'!$Q$37),"")</f>
        <v/>
      </c>
      <c r="U50" s="65" t="str">
        <f>IF(AND('Mapa final'!$AA$38="Muy Baja",'Mapa final'!$AC$38="Menor"),CONCATENATE("R5C",'Mapa final'!$Q$38),"")</f>
        <v/>
      </c>
      <c r="V50" s="54" t="str">
        <f>IF(AND('Mapa final'!$AA$33="Muy Baja",'Mapa final'!$AC$33="Moderado"),CONCATENATE("R5C",'Mapa final'!$Q$33),"")</f>
        <v/>
      </c>
      <c r="W50" s="55" t="str">
        <f>IF(AND('Mapa final'!$AA$34="Muy Baja",'Mapa final'!$AC$34="Moderado"),CONCATENATE("R5C",'Mapa final'!$Q$34),"")</f>
        <v/>
      </c>
      <c r="X50" s="55" t="str">
        <f>IF(AND('Mapa final'!$AA$35="Muy Baja",'Mapa final'!$AC$35="Moderado"),CONCATENATE("R5C",'Mapa final'!$Q$35),"")</f>
        <v/>
      </c>
      <c r="Y50" s="55" t="str">
        <f>IF(AND('Mapa final'!$AA$36="Muy Baja",'Mapa final'!$AC$36="Moderado"),CONCATENATE("R5C",'Mapa final'!$Q$36),"")</f>
        <v/>
      </c>
      <c r="Z50" s="55" t="str">
        <f>IF(AND('Mapa final'!$AA$37="Muy Baja",'Mapa final'!$AC$37="Moderado"),CONCATENATE("R5C",'Mapa final'!$Q$37),"")</f>
        <v/>
      </c>
      <c r="AA50" s="56" t="str">
        <f>IF(AND('Mapa final'!$AA$38="Muy Baja",'Mapa final'!$AC$38="Moderado"),CONCATENATE("R5C",'Mapa final'!$Q$38),"")</f>
        <v/>
      </c>
      <c r="AB50" s="38" t="str">
        <f>IF(AND('Mapa final'!$AA$33="Muy Baja",'Mapa final'!$AC$33="Mayor"),CONCATENATE("R5C",'Mapa final'!$Q$33),"")</f>
        <v/>
      </c>
      <c r="AC50" s="39" t="str">
        <f>IF(AND('Mapa final'!$AA$34="Muy Baja",'Mapa final'!$AC$34="Mayor"),CONCATENATE("R5C",'Mapa final'!$Q$34),"")</f>
        <v/>
      </c>
      <c r="AD50" s="44" t="str">
        <f>IF(AND('Mapa final'!$AA$35="Muy Baja",'Mapa final'!$AC$35="Mayor"),CONCATENATE("R5C",'Mapa final'!$Q$35),"")</f>
        <v/>
      </c>
      <c r="AE50" s="44" t="str">
        <f>IF(AND('Mapa final'!$AA$36="Muy Baja",'Mapa final'!$AC$36="Mayor"),CONCATENATE("R5C",'Mapa final'!$Q$36),"")</f>
        <v/>
      </c>
      <c r="AF50" s="44" t="str">
        <f>IF(AND('Mapa final'!$AA$37="Muy Baja",'Mapa final'!$AC$37="Mayor"),CONCATENATE("R5C",'Mapa final'!$Q$37),"")</f>
        <v/>
      </c>
      <c r="AG50" s="40" t="str">
        <f>IF(AND('Mapa final'!$AA$38="Muy Baja",'Mapa final'!$AC$38="Mayor"),CONCATENATE("R5C",'Mapa final'!$Q$38),"")</f>
        <v/>
      </c>
      <c r="AH50" s="41" t="str">
        <f>IF(AND('Mapa final'!$AA$33="Muy Baja",'Mapa final'!$AC$33="Catastrófico"),CONCATENATE("R5C",'Mapa final'!$Q$33),"")</f>
        <v/>
      </c>
      <c r="AI50" s="42" t="str">
        <f>IF(AND('Mapa final'!$AA$34="Muy Baja",'Mapa final'!$AC$34="Catastrófico"),CONCATENATE("R5C",'Mapa final'!$Q$34),"")</f>
        <v/>
      </c>
      <c r="AJ50" s="42" t="str">
        <f>IF(AND('Mapa final'!$AA$35="Muy Baja",'Mapa final'!$AC$35="Catastrófico"),CONCATENATE("R5C",'Mapa final'!$Q$35),"")</f>
        <v/>
      </c>
      <c r="AK50" s="42" t="str">
        <f>IF(AND('Mapa final'!$AA$36="Muy Baja",'Mapa final'!$AC$36="Catastrófico"),CONCATENATE("R5C",'Mapa final'!$Q$36),"")</f>
        <v/>
      </c>
      <c r="AL50" s="42" t="str">
        <f>IF(AND('Mapa final'!$AA$37="Muy Baja",'Mapa final'!$AC$37="Catastrófico"),CONCATENATE("R5C",'Mapa final'!$Q$37),"")</f>
        <v/>
      </c>
      <c r="AM50" s="43" t="str">
        <f>IF(AND('Mapa final'!$AA$38="Muy Baja",'Mapa final'!$AC$38="Catastrófico"),CONCATENATE("R5C",'Mapa final'!$Q$38),"")</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80"/>
      <c r="C51" s="280"/>
      <c r="D51" s="281"/>
      <c r="E51" s="321"/>
      <c r="F51" s="322"/>
      <c r="G51" s="322"/>
      <c r="H51" s="322"/>
      <c r="I51" s="323"/>
      <c r="J51" s="63" t="str">
        <f>IF(AND('Mapa final'!$AA$39="Muy Baja",'Mapa final'!$AC$39="Leve"),CONCATENATE("R6C",'Mapa final'!$Q$39),"")</f>
        <v/>
      </c>
      <c r="K51" s="64" t="str">
        <f>IF(AND('Mapa final'!$AA$40="Muy Baja",'Mapa final'!$AC$40="Leve"),CONCATENATE("R6C",'Mapa final'!$Q$40),"")</f>
        <v/>
      </c>
      <c r="L51" s="64" t="str">
        <f>IF(AND('Mapa final'!$AA$41="Muy Baja",'Mapa final'!$AC$41="Leve"),CONCATENATE("R6C",'Mapa final'!$Q$41),"")</f>
        <v/>
      </c>
      <c r="M51" s="64" t="str">
        <f>IF(AND('Mapa final'!$AA$42="Muy Baja",'Mapa final'!$AC$42="Leve"),CONCATENATE("R6C",'Mapa final'!$Q$42),"")</f>
        <v/>
      </c>
      <c r="N51" s="64" t="str">
        <f>IF(AND('Mapa final'!$AA$43="Muy Baja",'Mapa final'!$AC$43="Leve"),CONCATENATE("R6C",'Mapa final'!$Q$43),"")</f>
        <v/>
      </c>
      <c r="O51" s="65" t="str">
        <f>IF(AND('Mapa final'!$AA$44="Muy Baja",'Mapa final'!$AC$44="Leve"),CONCATENATE("R6C",'Mapa final'!$Q$44),"")</f>
        <v/>
      </c>
      <c r="P51" s="63" t="str">
        <f>IF(AND('Mapa final'!$AA$39="Muy Baja",'Mapa final'!$AC$39="Menor"),CONCATENATE("R6C",'Mapa final'!$Q$39),"")</f>
        <v/>
      </c>
      <c r="Q51" s="64" t="str">
        <f>IF(AND('Mapa final'!$AA$40="Muy Baja",'Mapa final'!$AC$40="Menor"),CONCATENATE("R6C",'Mapa final'!$Q$40),"")</f>
        <v/>
      </c>
      <c r="R51" s="64" t="str">
        <f>IF(AND('Mapa final'!$AA$41="Muy Baja",'Mapa final'!$AC$41="Menor"),CONCATENATE("R6C",'Mapa final'!$Q$41),"")</f>
        <v/>
      </c>
      <c r="S51" s="64" t="str">
        <f>IF(AND('Mapa final'!$AA$42="Muy Baja",'Mapa final'!$AC$42="Menor"),CONCATENATE("R6C",'Mapa final'!$Q$42),"")</f>
        <v/>
      </c>
      <c r="T51" s="64" t="str">
        <f>IF(AND('Mapa final'!$AA$43="Muy Baja",'Mapa final'!$AC$43="Menor"),CONCATENATE("R6C",'Mapa final'!$Q$43),"")</f>
        <v/>
      </c>
      <c r="U51" s="65" t="str">
        <f>IF(AND('Mapa final'!$AA$44="Muy Baja",'Mapa final'!$AC$44="Menor"),CONCATENATE("R6C",'Mapa final'!$Q$44),"")</f>
        <v/>
      </c>
      <c r="V51" s="54" t="str">
        <f>IF(AND('Mapa final'!$AA$39="Muy Baja",'Mapa final'!$AC$39="Moderado"),CONCATENATE("R6C",'Mapa final'!$Q$39),"")</f>
        <v/>
      </c>
      <c r="W51" s="55" t="str">
        <f>IF(AND('Mapa final'!$AA$40="Muy Baja",'Mapa final'!$AC$40="Moderado"),CONCATENATE("R6C",'Mapa final'!$Q$40),"")</f>
        <v/>
      </c>
      <c r="X51" s="55" t="str">
        <f>IF(AND('Mapa final'!$AA$41="Muy Baja",'Mapa final'!$AC$41="Moderado"),CONCATENATE("R6C",'Mapa final'!$Q$41),"")</f>
        <v/>
      </c>
      <c r="Y51" s="55" t="str">
        <f>IF(AND('Mapa final'!$AA$42="Muy Baja",'Mapa final'!$AC$42="Moderado"),CONCATENATE("R6C",'Mapa final'!$Q$42),"")</f>
        <v/>
      </c>
      <c r="Z51" s="55" t="str">
        <f>IF(AND('Mapa final'!$AA$43="Muy Baja",'Mapa final'!$AC$43="Moderado"),CONCATENATE("R6C",'Mapa final'!$Q$43),"")</f>
        <v/>
      </c>
      <c r="AA51" s="56" t="str">
        <f>IF(AND('Mapa final'!$AA$44="Muy Baja",'Mapa final'!$AC$44="Moderado"),CONCATENATE("R6C",'Mapa final'!$Q$44),"")</f>
        <v/>
      </c>
      <c r="AB51" s="38" t="str">
        <f>IF(AND('Mapa final'!$AA$39="Muy Baja",'Mapa final'!$AC$39="Mayor"),CONCATENATE("R6C",'Mapa final'!$Q$39),"")</f>
        <v/>
      </c>
      <c r="AC51" s="39" t="str">
        <f>IF(AND('Mapa final'!$AA$40="Muy Baja",'Mapa final'!$AC$40="Mayor"),CONCATENATE("R6C",'Mapa final'!$Q$40),"")</f>
        <v/>
      </c>
      <c r="AD51" s="44" t="str">
        <f>IF(AND('Mapa final'!$AA$41="Muy Baja",'Mapa final'!$AC$41="Mayor"),CONCATENATE("R6C",'Mapa final'!$Q$41),"")</f>
        <v/>
      </c>
      <c r="AE51" s="44" t="str">
        <f>IF(AND('Mapa final'!$AA$42="Muy Baja",'Mapa final'!$AC$42="Mayor"),CONCATENATE("R6C",'Mapa final'!$Q$42),"")</f>
        <v/>
      </c>
      <c r="AF51" s="44" t="str">
        <f>IF(AND('Mapa final'!$AA$43="Muy Baja",'Mapa final'!$AC$43="Mayor"),CONCATENATE("R6C",'Mapa final'!$Q$43),"")</f>
        <v/>
      </c>
      <c r="AG51" s="40" t="str">
        <f>IF(AND('Mapa final'!$AA$44="Muy Baja",'Mapa final'!$AC$44="Mayor"),CONCATENATE("R6C",'Mapa final'!$Q$44),"")</f>
        <v/>
      </c>
      <c r="AH51" s="41" t="str">
        <f>IF(AND('Mapa final'!$AA$39="Muy Baja",'Mapa final'!$AC$39="Catastrófico"),CONCATENATE("R6C",'Mapa final'!$Q$39),"")</f>
        <v/>
      </c>
      <c r="AI51" s="42" t="str">
        <f>IF(AND('Mapa final'!$AA$40="Muy Baja",'Mapa final'!$AC$40="Catastrófico"),CONCATENATE("R6C",'Mapa final'!$Q$40),"")</f>
        <v/>
      </c>
      <c r="AJ51" s="42" t="str">
        <f>IF(AND('Mapa final'!$AA$41="Muy Baja",'Mapa final'!$AC$41="Catastrófico"),CONCATENATE("R6C",'Mapa final'!$Q$41),"")</f>
        <v/>
      </c>
      <c r="AK51" s="42" t="str">
        <f>IF(AND('Mapa final'!$AA$42="Muy Baja",'Mapa final'!$AC$42="Catastrófico"),CONCATENATE("R6C",'Mapa final'!$Q$42),"")</f>
        <v/>
      </c>
      <c r="AL51" s="42" t="str">
        <f>IF(AND('Mapa final'!$AA$43="Muy Baja",'Mapa final'!$AC$43="Catastrófico"),CONCATENATE("R6C",'Mapa final'!$Q$43),"")</f>
        <v/>
      </c>
      <c r="AM51" s="43" t="str">
        <f>IF(AND('Mapa final'!$AA$44="Muy Baja",'Mapa final'!$AC$44="Catastrófico"),CONCATENATE("R6C",'Mapa final'!$Q$44),"")</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80"/>
      <c r="C52" s="280"/>
      <c r="D52" s="281"/>
      <c r="E52" s="321"/>
      <c r="F52" s="322"/>
      <c r="G52" s="322"/>
      <c r="H52" s="322"/>
      <c r="I52" s="323"/>
      <c r="J52" s="63" t="str">
        <f>IF(AND('Mapa final'!$AA$45="Muy Baja",'Mapa final'!$AC$45="Leve"),CONCATENATE("R7C",'Mapa final'!$Q$45),"")</f>
        <v/>
      </c>
      <c r="K52" s="64" t="str">
        <f>IF(AND('Mapa final'!$AA$46="Muy Baja",'Mapa final'!$AC$46="Leve"),CONCATENATE("R7C",'Mapa final'!$Q$46),"")</f>
        <v/>
      </c>
      <c r="L52" s="64" t="str">
        <f>IF(AND('Mapa final'!$AA$47="Muy Baja",'Mapa final'!$AC$47="Leve"),CONCATENATE("R7C",'Mapa final'!$Q$47),"")</f>
        <v/>
      </c>
      <c r="M52" s="64" t="str">
        <f>IF(AND('Mapa final'!$AA$48="Muy Baja",'Mapa final'!$AC$48="Leve"),CONCATENATE("R7C",'Mapa final'!$Q$48),"")</f>
        <v/>
      </c>
      <c r="N52" s="64" t="str">
        <f>IF(AND('Mapa final'!$AA$49="Muy Baja",'Mapa final'!$AC$49="Leve"),CONCATENATE("R7C",'Mapa final'!$Q$49),"")</f>
        <v/>
      </c>
      <c r="O52" s="65" t="str">
        <f>IF(AND('Mapa final'!$AA$50="Muy Baja",'Mapa final'!$AC$50="Leve"),CONCATENATE("R7C",'Mapa final'!$Q$50),"")</f>
        <v/>
      </c>
      <c r="P52" s="63" t="str">
        <f>IF(AND('Mapa final'!$AA$45="Muy Baja",'Mapa final'!$AC$45="Menor"),CONCATENATE("R7C",'Mapa final'!$Q$45),"")</f>
        <v/>
      </c>
      <c r="Q52" s="64" t="str">
        <f>IF(AND('Mapa final'!$AA$46="Muy Baja",'Mapa final'!$AC$46="Menor"),CONCATENATE("R7C",'Mapa final'!$Q$46),"")</f>
        <v/>
      </c>
      <c r="R52" s="64" t="str">
        <f>IF(AND('Mapa final'!$AA$47="Muy Baja",'Mapa final'!$AC$47="Menor"),CONCATENATE("R7C",'Mapa final'!$Q$47),"")</f>
        <v/>
      </c>
      <c r="S52" s="64" t="str">
        <f>IF(AND('Mapa final'!$AA$48="Muy Baja",'Mapa final'!$AC$48="Menor"),CONCATENATE("R7C",'Mapa final'!$Q$48),"")</f>
        <v/>
      </c>
      <c r="T52" s="64" t="str">
        <f>IF(AND('Mapa final'!$AA$49="Muy Baja",'Mapa final'!$AC$49="Menor"),CONCATENATE("R7C",'Mapa final'!$Q$49),"")</f>
        <v/>
      </c>
      <c r="U52" s="65" t="str">
        <f>IF(AND('Mapa final'!$AA$50="Muy Baja",'Mapa final'!$AC$50="Menor"),CONCATENATE("R7C",'Mapa final'!$Q$50),"")</f>
        <v/>
      </c>
      <c r="V52" s="54" t="str">
        <f>IF(AND('Mapa final'!$AA$45="Muy Baja",'Mapa final'!$AC$45="Moderado"),CONCATENATE("R7C",'Mapa final'!$Q$45),"")</f>
        <v/>
      </c>
      <c r="W52" s="55" t="str">
        <f>IF(AND('Mapa final'!$AA$46="Muy Baja",'Mapa final'!$AC$46="Moderado"),CONCATENATE("R7C",'Mapa final'!$Q$46),"")</f>
        <v/>
      </c>
      <c r="X52" s="55" t="str">
        <f>IF(AND('Mapa final'!$AA$47="Muy Baja",'Mapa final'!$AC$47="Moderado"),CONCATENATE("R7C",'Mapa final'!$Q$47),"")</f>
        <v/>
      </c>
      <c r="Y52" s="55" t="str">
        <f>IF(AND('Mapa final'!$AA$48="Muy Baja",'Mapa final'!$AC$48="Moderado"),CONCATENATE("R7C",'Mapa final'!$Q$48),"")</f>
        <v/>
      </c>
      <c r="Z52" s="55" t="str">
        <f>IF(AND('Mapa final'!$AA$49="Muy Baja",'Mapa final'!$AC$49="Moderado"),CONCATENATE("R7C",'Mapa final'!$Q$49),"")</f>
        <v/>
      </c>
      <c r="AA52" s="56" t="str">
        <f>IF(AND('Mapa final'!$AA$50="Muy Baja",'Mapa final'!$AC$50="Moderado"),CONCATENATE("R7C",'Mapa final'!$Q$50),"")</f>
        <v/>
      </c>
      <c r="AB52" s="38" t="str">
        <f>IF(AND('Mapa final'!$AA$45="Muy Baja",'Mapa final'!$AC$45="Mayor"),CONCATENATE("R7C",'Mapa final'!$Q$45),"")</f>
        <v/>
      </c>
      <c r="AC52" s="39" t="str">
        <f>IF(AND('Mapa final'!$AA$46="Muy Baja",'Mapa final'!$AC$46="Mayor"),CONCATENATE("R7C",'Mapa final'!$Q$46),"")</f>
        <v/>
      </c>
      <c r="AD52" s="44" t="str">
        <f>IF(AND('Mapa final'!$AA$47="Muy Baja",'Mapa final'!$AC$47="Mayor"),CONCATENATE("R7C",'Mapa final'!$Q$47),"")</f>
        <v/>
      </c>
      <c r="AE52" s="44" t="str">
        <f>IF(AND('Mapa final'!$AA$48="Muy Baja",'Mapa final'!$AC$48="Mayor"),CONCATENATE("R7C",'Mapa final'!$Q$48),"")</f>
        <v/>
      </c>
      <c r="AF52" s="44" t="str">
        <f>IF(AND('Mapa final'!$AA$49="Muy Baja",'Mapa final'!$AC$49="Mayor"),CONCATENATE("R7C",'Mapa final'!$Q$49),"")</f>
        <v/>
      </c>
      <c r="AG52" s="40" t="str">
        <f>IF(AND('Mapa final'!$AA$50="Muy Baja",'Mapa final'!$AC$50="Mayor"),CONCATENATE("R7C",'Mapa final'!$Q$50),"")</f>
        <v/>
      </c>
      <c r="AH52" s="41" t="str">
        <f>IF(AND('Mapa final'!$AA$45="Muy Baja",'Mapa final'!$AC$45="Catastrófico"),CONCATENATE("R7C",'Mapa final'!$Q$45),"")</f>
        <v/>
      </c>
      <c r="AI52" s="42" t="str">
        <f>IF(AND('Mapa final'!$AA$46="Muy Baja",'Mapa final'!$AC$46="Catastrófico"),CONCATENATE("R7C",'Mapa final'!$Q$46),"")</f>
        <v/>
      </c>
      <c r="AJ52" s="42" t="str">
        <f>IF(AND('Mapa final'!$AA$47="Muy Baja",'Mapa final'!$AC$47="Catastrófico"),CONCATENATE("R7C",'Mapa final'!$Q$47),"")</f>
        <v/>
      </c>
      <c r="AK52" s="42" t="str">
        <f>IF(AND('Mapa final'!$AA$48="Muy Baja",'Mapa final'!$AC$48="Catastrófico"),CONCATENATE("R7C",'Mapa final'!$Q$48),"")</f>
        <v/>
      </c>
      <c r="AL52" s="42" t="str">
        <f>IF(AND('Mapa final'!$AA$49="Muy Baja",'Mapa final'!$AC$49="Catastrófico"),CONCATENATE("R7C",'Mapa final'!$Q$49),"")</f>
        <v/>
      </c>
      <c r="AM52" s="43" t="str">
        <f>IF(AND('Mapa final'!$AA$50="Muy Baja",'Mapa final'!$AC$50="Catastrófico"),CONCATENATE("R7C",'Mapa final'!$Q$50),"")</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80"/>
      <c r="C53" s="280"/>
      <c r="D53" s="281"/>
      <c r="E53" s="321"/>
      <c r="F53" s="322"/>
      <c r="G53" s="322"/>
      <c r="H53" s="322"/>
      <c r="I53" s="323"/>
      <c r="J53" s="63" t="str">
        <f>IF(AND('Mapa final'!$AA$51="Muy Baja",'Mapa final'!$AC$51="Leve"),CONCATENATE("R8C",'Mapa final'!$Q$51),"")</f>
        <v/>
      </c>
      <c r="K53" s="64" t="str">
        <f>IF(AND('Mapa final'!$AA$52="Muy Baja",'Mapa final'!$AC$52="Leve"),CONCATENATE("R8C",'Mapa final'!$Q$52),"")</f>
        <v/>
      </c>
      <c r="L53" s="64" t="str">
        <f>IF(AND('Mapa final'!$AA$53="Muy Baja",'Mapa final'!$AC$53="Leve"),CONCATENATE("R8C",'Mapa final'!$Q$53),"")</f>
        <v/>
      </c>
      <c r="M53" s="64" t="str">
        <f>IF(AND('Mapa final'!$AA$54="Muy Baja",'Mapa final'!$AC$54="Leve"),CONCATENATE("R8C",'Mapa final'!$Q$54),"")</f>
        <v/>
      </c>
      <c r="N53" s="64" t="str">
        <f>IF(AND('Mapa final'!$AA$55="Muy Baja",'Mapa final'!$AC$55="Leve"),CONCATENATE("R8C",'Mapa final'!$Q$55),"")</f>
        <v/>
      </c>
      <c r="O53" s="65" t="str">
        <f>IF(AND('Mapa final'!$AA$56="Muy Baja",'Mapa final'!$AC$56="Leve"),CONCATENATE("R8C",'Mapa final'!$Q$56),"")</f>
        <v/>
      </c>
      <c r="P53" s="63" t="str">
        <f>IF(AND('Mapa final'!$AA$51="Muy Baja",'Mapa final'!$AC$51="Menor"),CONCATENATE("R8C",'Mapa final'!$Q$51),"")</f>
        <v/>
      </c>
      <c r="Q53" s="64" t="str">
        <f>IF(AND('Mapa final'!$AA$52="Muy Baja",'Mapa final'!$AC$52="Menor"),CONCATENATE("R8C",'Mapa final'!$Q$52),"")</f>
        <v/>
      </c>
      <c r="R53" s="64" t="str">
        <f>IF(AND('Mapa final'!$AA$53="Muy Baja",'Mapa final'!$AC$53="Menor"),CONCATENATE("R8C",'Mapa final'!$Q$53),"")</f>
        <v/>
      </c>
      <c r="S53" s="64" t="str">
        <f>IF(AND('Mapa final'!$AA$54="Muy Baja",'Mapa final'!$AC$54="Menor"),CONCATENATE("R8C",'Mapa final'!$Q$54),"")</f>
        <v/>
      </c>
      <c r="T53" s="64" t="str">
        <f>IF(AND('Mapa final'!$AA$55="Muy Baja",'Mapa final'!$AC$55="Menor"),CONCATENATE("R8C",'Mapa final'!$Q$55),"")</f>
        <v/>
      </c>
      <c r="U53" s="65" t="str">
        <f>IF(AND('Mapa final'!$AA$56="Muy Baja",'Mapa final'!$AC$56="Menor"),CONCATENATE("R8C",'Mapa final'!$Q$56),"")</f>
        <v/>
      </c>
      <c r="V53" s="54" t="str">
        <f>IF(AND('Mapa final'!$AA$51="Muy Baja",'Mapa final'!$AC$51="Moderado"),CONCATENATE("R8C",'Mapa final'!$Q$51),"")</f>
        <v/>
      </c>
      <c r="W53" s="55" t="str">
        <f>IF(AND('Mapa final'!$AA$52="Muy Baja",'Mapa final'!$AC$52="Moderado"),CONCATENATE("R8C",'Mapa final'!$Q$52),"")</f>
        <v/>
      </c>
      <c r="X53" s="55" t="str">
        <f>IF(AND('Mapa final'!$AA$53="Muy Baja",'Mapa final'!$AC$53="Moderado"),CONCATENATE("R8C",'Mapa final'!$Q$53),"")</f>
        <v/>
      </c>
      <c r="Y53" s="55" t="str">
        <f>IF(AND('Mapa final'!$AA$54="Muy Baja",'Mapa final'!$AC$54="Moderado"),CONCATENATE("R8C",'Mapa final'!$Q$54),"")</f>
        <v/>
      </c>
      <c r="Z53" s="55" t="str">
        <f>IF(AND('Mapa final'!$AA$55="Muy Baja",'Mapa final'!$AC$55="Moderado"),CONCATENATE("R8C",'Mapa final'!$Q$55),"")</f>
        <v/>
      </c>
      <c r="AA53" s="56" t="str">
        <f>IF(AND('Mapa final'!$AA$56="Muy Baja",'Mapa final'!$AC$56="Moderado"),CONCATENATE("R8C",'Mapa final'!$Q$56),"")</f>
        <v/>
      </c>
      <c r="AB53" s="38" t="str">
        <f>IF(AND('Mapa final'!$AA$51="Muy Baja",'Mapa final'!$AC$51="Mayor"),CONCATENATE("R8C",'Mapa final'!$Q$51),"")</f>
        <v/>
      </c>
      <c r="AC53" s="39" t="str">
        <f>IF(AND('Mapa final'!$AA$52="Muy Baja",'Mapa final'!$AC$52="Mayor"),CONCATENATE("R8C",'Mapa final'!$Q$52),"")</f>
        <v/>
      </c>
      <c r="AD53" s="44" t="str">
        <f>IF(AND('Mapa final'!$AA$53="Muy Baja",'Mapa final'!$AC$53="Mayor"),CONCATENATE("R8C",'Mapa final'!$Q$53),"")</f>
        <v/>
      </c>
      <c r="AE53" s="44" t="str">
        <f>IF(AND('Mapa final'!$AA$54="Muy Baja",'Mapa final'!$AC$54="Mayor"),CONCATENATE("R8C",'Mapa final'!$Q$54),"")</f>
        <v/>
      </c>
      <c r="AF53" s="44" t="str">
        <f>IF(AND('Mapa final'!$AA$55="Muy Baja",'Mapa final'!$AC$55="Mayor"),CONCATENATE("R8C",'Mapa final'!$Q$55),"")</f>
        <v/>
      </c>
      <c r="AG53" s="40" t="str">
        <f>IF(AND('Mapa final'!$AA$56="Muy Baja",'Mapa final'!$AC$56="Mayor"),CONCATENATE("R8C",'Mapa final'!$Q$56),"")</f>
        <v/>
      </c>
      <c r="AH53" s="41" t="str">
        <f>IF(AND('Mapa final'!$AA$51="Muy Baja",'Mapa final'!$AC$51="Catastrófico"),CONCATENATE("R8C",'Mapa final'!$Q$51),"")</f>
        <v/>
      </c>
      <c r="AI53" s="42" t="str">
        <f>IF(AND('Mapa final'!$AA$52="Muy Baja",'Mapa final'!$AC$52="Catastrófico"),CONCATENATE("R8C",'Mapa final'!$Q$52),"")</f>
        <v/>
      </c>
      <c r="AJ53" s="42" t="str">
        <f>IF(AND('Mapa final'!$AA$53="Muy Baja",'Mapa final'!$AC$53="Catastrófico"),CONCATENATE("R8C",'Mapa final'!$Q$53),"")</f>
        <v/>
      </c>
      <c r="AK53" s="42" t="str">
        <f>IF(AND('Mapa final'!$AA$54="Muy Baja",'Mapa final'!$AC$54="Catastrófico"),CONCATENATE("R8C",'Mapa final'!$Q$54),"")</f>
        <v/>
      </c>
      <c r="AL53" s="42" t="str">
        <f>IF(AND('Mapa final'!$AA$55="Muy Baja",'Mapa final'!$AC$55="Catastrófico"),CONCATENATE("R8C",'Mapa final'!$Q$55),"")</f>
        <v/>
      </c>
      <c r="AM53" s="43" t="str">
        <f>IF(AND('Mapa final'!$AA$56="Muy Baja",'Mapa final'!$AC$56="Catastrófico"),CONCATENATE("R8C",'Mapa final'!$Q$56),"")</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80"/>
      <c r="C54" s="280"/>
      <c r="D54" s="281"/>
      <c r="E54" s="321"/>
      <c r="F54" s="322"/>
      <c r="G54" s="322"/>
      <c r="H54" s="322"/>
      <c r="I54" s="323"/>
      <c r="J54" s="63" t="str">
        <f>IF(AND('Mapa final'!$AA$57="Muy Baja",'Mapa final'!$AC$57="Leve"),CONCATENATE("R9C",'Mapa final'!$Q$57),"")</f>
        <v/>
      </c>
      <c r="K54" s="64" t="str">
        <f>IF(AND('Mapa final'!$AA$58="Muy Baja",'Mapa final'!$AC$58="Leve"),CONCATENATE("R9C",'Mapa final'!$Q$58),"")</f>
        <v/>
      </c>
      <c r="L54" s="64" t="str">
        <f>IF(AND('Mapa final'!$AA$59="Muy Baja",'Mapa final'!$AC$59="Leve"),CONCATENATE("R9C",'Mapa final'!$Q$59),"")</f>
        <v/>
      </c>
      <c r="M54" s="64" t="str">
        <f>IF(AND('Mapa final'!$AA$60="Muy Baja",'Mapa final'!$AC$60="Leve"),CONCATENATE("R9C",'Mapa final'!$Q$60),"")</f>
        <v/>
      </c>
      <c r="N54" s="64" t="str">
        <f>IF(AND('Mapa final'!$AA$61="Muy Baja",'Mapa final'!$AC$61="Leve"),CONCATENATE("R9C",'Mapa final'!$Q$61),"")</f>
        <v/>
      </c>
      <c r="O54" s="65" t="str">
        <f>IF(AND('Mapa final'!$AA$62="Muy Baja",'Mapa final'!$AC$62="Leve"),CONCATENATE("R9C",'Mapa final'!$Q$62),"")</f>
        <v/>
      </c>
      <c r="P54" s="63" t="str">
        <f>IF(AND('Mapa final'!$AA$57="Muy Baja",'Mapa final'!$AC$57="Menor"),CONCATENATE("R9C",'Mapa final'!$Q$57),"")</f>
        <v/>
      </c>
      <c r="Q54" s="64" t="str">
        <f>IF(AND('Mapa final'!$AA$58="Muy Baja",'Mapa final'!$AC$58="Menor"),CONCATENATE("R9C",'Mapa final'!$Q$58),"")</f>
        <v/>
      </c>
      <c r="R54" s="64" t="str">
        <f>IF(AND('Mapa final'!$AA$59="Muy Baja",'Mapa final'!$AC$59="Menor"),CONCATENATE("R9C",'Mapa final'!$Q$59),"")</f>
        <v/>
      </c>
      <c r="S54" s="64" t="str">
        <f>IF(AND('Mapa final'!$AA$60="Muy Baja",'Mapa final'!$AC$60="Menor"),CONCATENATE("R9C",'Mapa final'!$Q$60),"")</f>
        <v/>
      </c>
      <c r="T54" s="64" t="str">
        <f>IF(AND('Mapa final'!$AA$61="Muy Baja",'Mapa final'!$AC$61="Menor"),CONCATENATE("R9C",'Mapa final'!$Q$61),"")</f>
        <v/>
      </c>
      <c r="U54" s="65" t="str">
        <f>IF(AND('Mapa final'!$AA$62="Muy Baja",'Mapa final'!$AC$62="Menor"),CONCATENATE("R9C",'Mapa final'!$Q$62),"")</f>
        <v/>
      </c>
      <c r="V54" s="54" t="str">
        <f>IF(AND('Mapa final'!$AA$57="Muy Baja",'Mapa final'!$AC$57="Moderado"),CONCATENATE("R9C",'Mapa final'!$Q$57),"")</f>
        <v/>
      </c>
      <c r="W54" s="55" t="str">
        <f>IF(AND('Mapa final'!$AA$58="Muy Baja",'Mapa final'!$AC$58="Moderado"),CONCATENATE("R9C",'Mapa final'!$Q$58),"")</f>
        <v/>
      </c>
      <c r="X54" s="55" t="str">
        <f>IF(AND('Mapa final'!$AA$59="Muy Baja",'Mapa final'!$AC$59="Moderado"),CONCATENATE("R9C",'Mapa final'!$Q$59),"")</f>
        <v/>
      </c>
      <c r="Y54" s="55" t="str">
        <f>IF(AND('Mapa final'!$AA$60="Muy Baja",'Mapa final'!$AC$60="Moderado"),CONCATENATE("R9C",'Mapa final'!$Q$60),"")</f>
        <v/>
      </c>
      <c r="Z54" s="55" t="str">
        <f>IF(AND('Mapa final'!$AA$61="Muy Baja",'Mapa final'!$AC$61="Moderado"),CONCATENATE("R9C",'Mapa final'!$Q$61),"")</f>
        <v/>
      </c>
      <c r="AA54" s="56" t="str">
        <f>IF(AND('Mapa final'!$AA$62="Muy Baja",'Mapa final'!$AC$62="Moderado"),CONCATENATE("R9C",'Mapa final'!$Q$62),"")</f>
        <v/>
      </c>
      <c r="AB54" s="38" t="str">
        <f>IF(AND('Mapa final'!$AA$57="Muy Baja",'Mapa final'!$AC$57="Mayor"),CONCATENATE("R9C",'Mapa final'!$Q$57),"")</f>
        <v/>
      </c>
      <c r="AC54" s="39" t="str">
        <f>IF(AND('Mapa final'!$AA$58="Muy Baja",'Mapa final'!$AC$58="Mayor"),CONCATENATE("R9C",'Mapa final'!$Q$58),"")</f>
        <v/>
      </c>
      <c r="AD54" s="44" t="str">
        <f>IF(AND('Mapa final'!$AA$59="Muy Baja",'Mapa final'!$AC$59="Mayor"),CONCATENATE("R9C",'Mapa final'!$Q$59),"")</f>
        <v/>
      </c>
      <c r="AE54" s="44" t="str">
        <f>IF(AND('Mapa final'!$AA$60="Muy Baja",'Mapa final'!$AC$60="Mayor"),CONCATENATE("R9C",'Mapa final'!$Q$60),"")</f>
        <v/>
      </c>
      <c r="AF54" s="44" t="str">
        <f>IF(AND('Mapa final'!$AA$61="Muy Baja",'Mapa final'!$AC$61="Mayor"),CONCATENATE("R9C",'Mapa final'!$Q$61),"")</f>
        <v/>
      </c>
      <c r="AG54" s="40" t="str">
        <f>IF(AND('Mapa final'!$AA$62="Muy Baja",'Mapa final'!$AC$62="Mayor"),CONCATENATE("R9C",'Mapa final'!$Q$62),"")</f>
        <v/>
      </c>
      <c r="AH54" s="41" t="str">
        <f>IF(AND('Mapa final'!$AA$57="Muy Baja",'Mapa final'!$AC$57="Catastrófico"),CONCATENATE("R9C",'Mapa final'!$Q$57),"")</f>
        <v/>
      </c>
      <c r="AI54" s="42" t="str">
        <f>IF(AND('Mapa final'!$AA$58="Muy Baja",'Mapa final'!$AC$58="Catastrófico"),CONCATENATE("R9C",'Mapa final'!$Q$58),"")</f>
        <v/>
      </c>
      <c r="AJ54" s="42" t="str">
        <f>IF(AND('Mapa final'!$AA$59="Muy Baja",'Mapa final'!$AC$59="Catastrófico"),CONCATENATE("R9C",'Mapa final'!$Q$59),"")</f>
        <v/>
      </c>
      <c r="AK54" s="42" t="str">
        <f>IF(AND('Mapa final'!$AA$60="Muy Baja",'Mapa final'!$AC$60="Catastrófico"),CONCATENATE("R9C",'Mapa final'!$Q$60),"")</f>
        <v/>
      </c>
      <c r="AL54" s="42" t="str">
        <f>IF(AND('Mapa final'!$AA$61="Muy Baja",'Mapa final'!$AC$61="Catastrófico"),CONCATENATE("R9C",'Mapa final'!$Q$61),"")</f>
        <v/>
      </c>
      <c r="AM54" s="43" t="str">
        <f>IF(AND('Mapa final'!$AA$62="Muy Baja",'Mapa final'!$AC$62="Catastrófico"),CONCATENATE("R9C",'Mapa final'!$Q$62),"")</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80"/>
      <c r="C55" s="280"/>
      <c r="D55" s="281"/>
      <c r="E55" s="324"/>
      <c r="F55" s="325"/>
      <c r="G55" s="325"/>
      <c r="H55" s="325"/>
      <c r="I55" s="326"/>
      <c r="J55" s="66" t="str">
        <f>IF(AND('Mapa final'!$AA$63="Muy Baja",'Mapa final'!$AC$63="Leve"),CONCATENATE("R10C",'Mapa final'!$Q$63),"")</f>
        <v/>
      </c>
      <c r="K55" s="67" t="str">
        <f>IF(AND('Mapa final'!$AA$64="Muy Baja",'Mapa final'!$AC$64="Leve"),CONCATENATE("R10C",'Mapa final'!$Q$64),"")</f>
        <v/>
      </c>
      <c r="L55" s="67" t="str">
        <f>IF(AND('Mapa final'!$AA$65="Muy Baja",'Mapa final'!$AC$65="Leve"),CONCATENATE("R10C",'Mapa final'!$Q$65),"")</f>
        <v/>
      </c>
      <c r="M55" s="67" t="str">
        <f>IF(AND('Mapa final'!$AA$66="Muy Baja",'Mapa final'!$AC$66="Leve"),CONCATENATE("R10C",'Mapa final'!$Q$66),"")</f>
        <v/>
      </c>
      <c r="N55" s="67" t="str">
        <f>IF(AND('Mapa final'!$AA$67="Muy Baja",'Mapa final'!$AC$67="Leve"),CONCATENATE("R10C",'Mapa final'!$Q$67),"")</f>
        <v/>
      </c>
      <c r="O55" s="68" t="str">
        <f>IF(AND('Mapa final'!$AA$68="Muy Baja",'Mapa final'!$AC$68="Leve"),CONCATENATE("R10C",'Mapa final'!$Q$68),"")</f>
        <v/>
      </c>
      <c r="P55" s="66" t="str">
        <f>IF(AND('Mapa final'!$AA$63="Muy Baja",'Mapa final'!$AC$63="Menor"),CONCATENATE("R10C",'Mapa final'!$Q$63),"")</f>
        <v/>
      </c>
      <c r="Q55" s="67" t="str">
        <f>IF(AND('Mapa final'!$AA$64="Muy Baja",'Mapa final'!$AC$64="Menor"),CONCATENATE("R10C",'Mapa final'!$Q$64),"")</f>
        <v/>
      </c>
      <c r="R55" s="67" t="str">
        <f>IF(AND('Mapa final'!$AA$65="Muy Baja",'Mapa final'!$AC$65="Menor"),CONCATENATE("R10C",'Mapa final'!$Q$65),"")</f>
        <v/>
      </c>
      <c r="S55" s="67" t="str">
        <f>IF(AND('Mapa final'!$AA$66="Muy Baja",'Mapa final'!$AC$66="Menor"),CONCATENATE("R10C",'Mapa final'!$Q$66),"")</f>
        <v/>
      </c>
      <c r="T55" s="67" t="str">
        <f>IF(AND('Mapa final'!$AA$67="Muy Baja",'Mapa final'!$AC$67="Menor"),CONCATENATE("R10C",'Mapa final'!$Q$67),"")</f>
        <v/>
      </c>
      <c r="U55" s="68" t="str">
        <f>IF(AND('Mapa final'!$AA$68="Muy Baja",'Mapa final'!$AC$68="Menor"),CONCATENATE("R10C",'Mapa final'!$Q$68),"")</f>
        <v/>
      </c>
      <c r="V55" s="57" t="str">
        <f>IF(AND('Mapa final'!$AA$63="Muy Baja",'Mapa final'!$AC$63="Moderado"),CONCATENATE("R10C",'Mapa final'!$Q$63),"")</f>
        <v/>
      </c>
      <c r="W55" s="58" t="str">
        <f>IF(AND('Mapa final'!$AA$64="Muy Baja",'Mapa final'!$AC$64="Moderado"),CONCATENATE("R10C",'Mapa final'!$Q$64),"")</f>
        <v/>
      </c>
      <c r="X55" s="58" t="str">
        <f>IF(AND('Mapa final'!$AA$65="Muy Baja",'Mapa final'!$AC$65="Moderado"),CONCATENATE("R10C",'Mapa final'!$Q$65),"")</f>
        <v/>
      </c>
      <c r="Y55" s="58" t="str">
        <f>IF(AND('Mapa final'!$AA$66="Muy Baja",'Mapa final'!$AC$66="Moderado"),CONCATENATE("R10C",'Mapa final'!$Q$66),"")</f>
        <v/>
      </c>
      <c r="Z55" s="58" t="str">
        <f>IF(AND('Mapa final'!$AA$67="Muy Baja",'Mapa final'!$AC$67="Moderado"),CONCATENATE("R10C",'Mapa final'!$Q$67),"")</f>
        <v/>
      </c>
      <c r="AA55" s="59" t="str">
        <f>IF(AND('Mapa final'!$AA$68="Muy Baja",'Mapa final'!$AC$68="Moderado"),CONCATENATE("R10C",'Mapa final'!$Q$68),"")</f>
        <v/>
      </c>
      <c r="AB55" s="45" t="str">
        <f>IF(AND('Mapa final'!$AA$63="Muy Baja",'Mapa final'!$AC$63="Mayor"),CONCATENATE("R10C",'Mapa final'!$Q$63),"")</f>
        <v/>
      </c>
      <c r="AC55" s="46" t="str">
        <f>IF(AND('Mapa final'!$AA$64="Muy Baja",'Mapa final'!$AC$64="Mayor"),CONCATENATE("R10C",'Mapa final'!$Q$64),"")</f>
        <v/>
      </c>
      <c r="AD55" s="46" t="str">
        <f>IF(AND('Mapa final'!$AA$65="Muy Baja",'Mapa final'!$AC$65="Mayor"),CONCATENATE("R10C",'Mapa final'!$Q$65),"")</f>
        <v/>
      </c>
      <c r="AE55" s="46" t="str">
        <f>IF(AND('Mapa final'!$AA$66="Muy Baja",'Mapa final'!$AC$66="Mayor"),CONCATENATE("R10C",'Mapa final'!$Q$66),"")</f>
        <v/>
      </c>
      <c r="AF55" s="46" t="str">
        <f>IF(AND('Mapa final'!$AA$67="Muy Baja",'Mapa final'!$AC$67="Mayor"),CONCATENATE("R10C",'Mapa final'!$Q$67),"")</f>
        <v/>
      </c>
      <c r="AG55" s="47" t="str">
        <f>IF(AND('Mapa final'!$AA$68="Muy Baja",'Mapa final'!$AC$68="Mayor"),CONCATENATE("R10C",'Mapa final'!$Q$68),"")</f>
        <v/>
      </c>
      <c r="AH55" s="48" t="str">
        <f>IF(AND('Mapa final'!$AA$63="Muy Baja",'Mapa final'!$AC$63="Catastrófico"),CONCATENATE("R10C",'Mapa final'!$Q$63),"")</f>
        <v/>
      </c>
      <c r="AI55" s="49" t="str">
        <f>IF(AND('Mapa final'!$AA$64="Muy Baja",'Mapa final'!$AC$64="Catastrófico"),CONCATENATE("R10C",'Mapa final'!$Q$64),"")</f>
        <v/>
      </c>
      <c r="AJ55" s="49" t="str">
        <f>IF(AND('Mapa final'!$AA$65="Muy Baja",'Mapa final'!$AC$65="Catastrófico"),CONCATENATE("R10C",'Mapa final'!$Q$65),"")</f>
        <v/>
      </c>
      <c r="AK55" s="49" t="str">
        <f>IF(AND('Mapa final'!$AA$66="Muy Baja",'Mapa final'!$AC$66="Catastrófico"),CONCATENATE("R10C",'Mapa final'!$Q$66),"")</f>
        <v/>
      </c>
      <c r="AL55" s="49" t="str">
        <f>IF(AND('Mapa final'!$AA$67="Muy Baja",'Mapa final'!$AC$67="Catastrófico"),CONCATENATE("R10C",'Mapa final'!$Q$67),"")</f>
        <v/>
      </c>
      <c r="AM55" s="50" t="str">
        <f>IF(AND('Mapa final'!$AA$68="Muy Baja",'Mapa final'!$AC$68="Catastrófico"),CONCATENATE("R10C",'Mapa final'!$Q$68),"")</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18" t="s">
        <v>108</v>
      </c>
      <c r="K56" s="319"/>
      <c r="L56" s="319"/>
      <c r="M56" s="319"/>
      <c r="N56" s="319"/>
      <c r="O56" s="320"/>
      <c r="P56" s="318" t="s">
        <v>107</v>
      </c>
      <c r="Q56" s="319"/>
      <c r="R56" s="319"/>
      <c r="S56" s="319"/>
      <c r="T56" s="319"/>
      <c r="U56" s="320"/>
      <c r="V56" s="318" t="s">
        <v>106</v>
      </c>
      <c r="W56" s="319"/>
      <c r="X56" s="319"/>
      <c r="Y56" s="319"/>
      <c r="Z56" s="319"/>
      <c r="AA56" s="320"/>
      <c r="AB56" s="318" t="s">
        <v>105</v>
      </c>
      <c r="AC56" s="327"/>
      <c r="AD56" s="319"/>
      <c r="AE56" s="319"/>
      <c r="AF56" s="319"/>
      <c r="AG56" s="320"/>
      <c r="AH56" s="318" t="s">
        <v>104</v>
      </c>
      <c r="AI56" s="319"/>
      <c r="AJ56" s="319"/>
      <c r="AK56" s="319"/>
      <c r="AL56" s="319"/>
      <c r="AM56" s="32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21"/>
      <c r="K57" s="322"/>
      <c r="L57" s="322"/>
      <c r="M57" s="322"/>
      <c r="N57" s="322"/>
      <c r="O57" s="323"/>
      <c r="P57" s="321"/>
      <c r="Q57" s="322"/>
      <c r="R57" s="322"/>
      <c r="S57" s="322"/>
      <c r="T57" s="322"/>
      <c r="U57" s="323"/>
      <c r="V57" s="321"/>
      <c r="W57" s="322"/>
      <c r="X57" s="322"/>
      <c r="Y57" s="322"/>
      <c r="Z57" s="322"/>
      <c r="AA57" s="323"/>
      <c r="AB57" s="321"/>
      <c r="AC57" s="322"/>
      <c r="AD57" s="322"/>
      <c r="AE57" s="322"/>
      <c r="AF57" s="322"/>
      <c r="AG57" s="323"/>
      <c r="AH57" s="321"/>
      <c r="AI57" s="322"/>
      <c r="AJ57" s="322"/>
      <c r="AK57" s="322"/>
      <c r="AL57" s="322"/>
      <c r="AM57" s="323"/>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21"/>
      <c r="K58" s="322"/>
      <c r="L58" s="322"/>
      <c r="M58" s="322"/>
      <c r="N58" s="322"/>
      <c r="O58" s="323"/>
      <c r="P58" s="321"/>
      <c r="Q58" s="322"/>
      <c r="R58" s="322"/>
      <c r="S58" s="322"/>
      <c r="T58" s="322"/>
      <c r="U58" s="323"/>
      <c r="V58" s="321"/>
      <c r="W58" s="322"/>
      <c r="X58" s="322"/>
      <c r="Y58" s="322"/>
      <c r="Z58" s="322"/>
      <c r="AA58" s="323"/>
      <c r="AB58" s="321"/>
      <c r="AC58" s="322"/>
      <c r="AD58" s="322"/>
      <c r="AE58" s="322"/>
      <c r="AF58" s="322"/>
      <c r="AG58" s="323"/>
      <c r="AH58" s="321"/>
      <c r="AI58" s="322"/>
      <c r="AJ58" s="322"/>
      <c r="AK58" s="322"/>
      <c r="AL58" s="322"/>
      <c r="AM58" s="323"/>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21"/>
      <c r="K59" s="322"/>
      <c r="L59" s="322"/>
      <c r="M59" s="322"/>
      <c r="N59" s="322"/>
      <c r="O59" s="323"/>
      <c r="P59" s="321"/>
      <c r="Q59" s="322"/>
      <c r="R59" s="322"/>
      <c r="S59" s="322"/>
      <c r="T59" s="322"/>
      <c r="U59" s="323"/>
      <c r="V59" s="321"/>
      <c r="W59" s="322"/>
      <c r="X59" s="322"/>
      <c r="Y59" s="322"/>
      <c r="Z59" s="322"/>
      <c r="AA59" s="323"/>
      <c r="AB59" s="321"/>
      <c r="AC59" s="322"/>
      <c r="AD59" s="322"/>
      <c r="AE59" s="322"/>
      <c r="AF59" s="322"/>
      <c r="AG59" s="323"/>
      <c r="AH59" s="321"/>
      <c r="AI59" s="322"/>
      <c r="AJ59" s="322"/>
      <c r="AK59" s="322"/>
      <c r="AL59" s="322"/>
      <c r="AM59" s="323"/>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21"/>
      <c r="K60" s="322"/>
      <c r="L60" s="322"/>
      <c r="M60" s="322"/>
      <c r="N60" s="322"/>
      <c r="O60" s="323"/>
      <c r="P60" s="321"/>
      <c r="Q60" s="322"/>
      <c r="R60" s="322"/>
      <c r="S60" s="322"/>
      <c r="T60" s="322"/>
      <c r="U60" s="323"/>
      <c r="V60" s="321"/>
      <c r="W60" s="322"/>
      <c r="X60" s="322"/>
      <c r="Y60" s="322"/>
      <c r="Z60" s="322"/>
      <c r="AA60" s="323"/>
      <c r="AB60" s="321"/>
      <c r="AC60" s="322"/>
      <c r="AD60" s="322"/>
      <c r="AE60" s="322"/>
      <c r="AF60" s="322"/>
      <c r="AG60" s="323"/>
      <c r="AH60" s="321"/>
      <c r="AI60" s="322"/>
      <c r="AJ60" s="322"/>
      <c r="AK60" s="322"/>
      <c r="AL60" s="322"/>
      <c r="AM60" s="323"/>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24"/>
      <c r="K61" s="325"/>
      <c r="L61" s="325"/>
      <c r="M61" s="325"/>
      <c r="N61" s="325"/>
      <c r="O61" s="326"/>
      <c r="P61" s="324"/>
      <c r="Q61" s="325"/>
      <c r="R61" s="325"/>
      <c r="S61" s="325"/>
      <c r="T61" s="325"/>
      <c r="U61" s="326"/>
      <c r="V61" s="324"/>
      <c r="W61" s="325"/>
      <c r="X61" s="325"/>
      <c r="Y61" s="325"/>
      <c r="Z61" s="325"/>
      <c r="AA61" s="326"/>
      <c r="AB61" s="324"/>
      <c r="AC61" s="325"/>
      <c r="AD61" s="325"/>
      <c r="AE61" s="325"/>
      <c r="AF61" s="325"/>
      <c r="AG61" s="326"/>
      <c r="AH61" s="324"/>
      <c r="AI61" s="325"/>
      <c r="AJ61" s="325"/>
      <c r="AK61" s="325"/>
      <c r="AL61" s="325"/>
      <c r="AM61" s="326"/>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55"/>
  <sheetViews>
    <sheetView zoomScale="90" zoomScaleNormal="90" workbookViewId="0">
      <selection activeCell="D5" sqref="D5"/>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0"/>
      <c r="B1" s="368" t="s">
        <v>51</v>
      </c>
      <c r="C1" s="368"/>
      <c r="D1" s="368"/>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3"/>
      <c r="C3" s="4" t="s">
        <v>48</v>
      </c>
      <c r="D3" s="4" t="s">
        <v>3</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5" t="s">
        <v>47</v>
      </c>
      <c r="C4" s="6" t="s">
        <v>98</v>
      </c>
      <c r="D4" s="7">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8" t="s">
        <v>49</v>
      </c>
      <c r="C5" s="9" t="s">
        <v>99</v>
      </c>
      <c r="D5" s="10">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1" t="s">
        <v>103</v>
      </c>
      <c r="C6" s="9" t="s">
        <v>100</v>
      </c>
      <c r="D6" s="10">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2" t="s">
        <v>5</v>
      </c>
      <c r="C7" s="9" t="s">
        <v>101</v>
      </c>
      <c r="D7" s="10">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3" t="s">
        <v>50</v>
      </c>
      <c r="C8" s="9" t="s">
        <v>102</v>
      </c>
      <c r="D8" s="10">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2"/>
      <c r="C9" s="92"/>
      <c r="D9" s="92"/>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3"/>
      <c r="C10" s="92"/>
      <c r="D10" s="92"/>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2"/>
      <c r="C11" s="92"/>
      <c r="D11" s="92"/>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2"/>
      <c r="C12" s="92"/>
      <c r="D12" s="92"/>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2"/>
      <c r="C13" s="92"/>
      <c r="D13" s="92"/>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2"/>
      <c r="C14" s="92"/>
      <c r="D14" s="92"/>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2"/>
      <c r="C15" s="92"/>
      <c r="D15" s="92"/>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2"/>
      <c r="C16" s="92"/>
      <c r="D16" s="92"/>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2"/>
      <c r="C17" s="92"/>
      <c r="D17" s="92"/>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2"/>
      <c r="C18" s="92"/>
      <c r="D18" s="92"/>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232"/>
  <sheetViews>
    <sheetView zoomScale="40" zoomScaleNormal="40" workbookViewId="0">
      <selection activeCell="D4" sqref="D4"/>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0"/>
      <c r="B1" s="369" t="s">
        <v>59</v>
      </c>
      <c r="C1" s="369"/>
      <c r="D1" s="369"/>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89"/>
      <c r="C3" s="22" t="s">
        <v>52</v>
      </c>
      <c r="D3" s="22" t="s">
        <v>53</v>
      </c>
      <c r="E3" s="70"/>
      <c r="F3" s="70"/>
      <c r="G3" s="70"/>
      <c r="H3" s="70"/>
      <c r="I3" s="70"/>
      <c r="J3" s="70"/>
      <c r="K3" s="70"/>
      <c r="L3" s="70"/>
      <c r="M3" s="70"/>
      <c r="N3" s="70"/>
      <c r="O3" s="70"/>
      <c r="P3" s="70"/>
      <c r="Q3" s="70"/>
      <c r="R3" s="70"/>
      <c r="S3" s="70"/>
      <c r="T3" s="70"/>
      <c r="U3" s="70"/>
    </row>
    <row r="4" spans="1:21" ht="33.75" x14ac:dyDescent="0.25">
      <c r="A4" s="88" t="s">
        <v>79</v>
      </c>
      <c r="B4" s="25" t="s">
        <v>97</v>
      </c>
      <c r="C4" s="30" t="s">
        <v>150</v>
      </c>
      <c r="D4" s="23" t="s">
        <v>93</v>
      </c>
      <c r="E4" s="70"/>
      <c r="F4" s="70"/>
      <c r="G4" s="70"/>
      <c r="H4" s="70"/>
      <c r="I4" s="70"/>
      <c r="J4" s="70"/>
      <c r="K4" s="70"/>
      <c r="L4" s="70"/>
      <c r="M4" s="70"/>
      <c r="N4" s="70"/>
      <c r="O4" s="70"/>
      <c r="P4" s="70"/>
      <c r="Q4" s="70"/>
      <c r="R4" s="70"/>
      <c r="S4" s="70"/>
      <c r="T4" s="70"/>
      <c r="U4" s="70"/>
    </row>
    <row r="5" spans="1:21" ht="67.5" x14ac:dyDescent="0.25">
      <c r="A5" s="88" t="s">
        <v>80</v>
      </c>
      <c r="B5" s="26" t="s">
        <v>55</v>
      </c>
      <c r="C5" s="31" t="s">
        <v>89</v>
      </c>
      <c r="D5" s="24" t="s">
        <v>94</v>
      </c>
      <c r="E5" s="70"/>
      <c r="F5" s="70"/>
      <c r="G5" s="70"/>
      <c r="H5" s="70"/>
      <c r="I5" s="70"/>
      <c r="J5" s="70"/>
      <c r="K5" s="70"/>
      <c r="L5" s="70"/>
      <c r="M5" s="70"/>
      <c r="N5" s="70"/>
      <c r="O5" s="70"/>
      <c r="P5" s="70"/>
      <c r="Q5" s="70"/>
      <c r="R5" s="70"/>
      <c r="S5" s="70"/>
      <c r="T5" s="70"/>
      <c r="U5" s="70"/>
    </row>
    <row r="6" spans="1:21" ht="67.5" x14ac:dyDescent="0.25">
      <c r="A6" s="88" t="s">
        <v>77</v>
      </c>
      <c r="B6" s="27" t="s">
        <v>56</v>
      </c>
      <c r="C6" s="31" t="s">
        <v>90</v>
      </c>
      <c r="D6" s="24" t="s">
        <v>96</v>
      </c>
      <c r="E6" s="70"/>
      <c r="F6" s="70"/>
      <c r="G6" s="70"/>
      <c r="H6" s="70"/>
      <c r="I6" s="70"/>
      <c r="J6" s="70"/>
      <c r="K6" s="70"/>
      <c r="L6" s="70"/>
      <c r="M6" s="70"/>
      <c r="N6" s="70"/>
      <c r="O6" s="70"/>
      <c r="P6" s="70"/>
      <c r="Q6" s="70"/>
      <c r="R6" s="70"/>
      <c r="S6" s="70"/>
      <c r="T6" s="70"/>
      <c r="U6" s="70"/>
    </row>
    <row r="7" spans="1:21" ht="101.25" x14ac:dyDescent="0.25">
      <c r="A7" s="88" t="s">
        <v>6</v>
      </c>
      <c r="B7" s="28" t="s">
        <v>57</v>
      </c>
      <c r="C7" s="31" t="s">
        <v>91</v>
      </c>
      <c r="D7" s="24" t="s">
        <v>95</v>
      </c>
      <c r="E7" s="70"/>
      <c r="F7" s="70"/>
      <c r="G7" s="70"/>
      <c r="H7" s="70"/>
      <c r="I7" s="70"/>
      <c r="J7" s="70"/>
      <c r="K7" s="70"/>
      <c r="L7" s="70"/>
      <c r="M7" s="70"/>
      <c r="N7" s="70"/>
      <c r="O7" s="70"/>
      <c r="P7" s="70"/>
      <c r="Q7" s="70"/>
      <c r="R7" s="70"/>
      <c r="S7" s="70"/>
      <c r="T7" s="70"/>
      <c r="U7" s="70"/>
    </row>
    <row r="8" spans="1:21" ht="67.5" x14ac:dyDescent="0.25">
      <c r="A8" s="88" t="s">
        <v>81</v>
      </c>
      <c r="B8" s="29" t="s">
        <v>58</v>
      </c>
      <c r="C8" s="31" t="s">
        <v>92</v>
      </c>
      <c r="D8" s="24" t="s">
        <v>114</v>
      </c>
      <c r="E8" s="70"/>
      <c r="F8" s="70"/>
      <c r="G8" s="70"/>
      <c r="H8" s="70"/>
      <c r="I8" s="70"/>
      <c r="J8" s="70"/>
      <c r="K8" s="70"/>
      <c r="L8" s="70"/>
      <c r="M8" s="70"/>
      <c r="N8" s="70"/>
      <c r="O8" s="70"/>
      <c r="P8" s="70"/>
      <c r="Q8" s="70"/>
      <c r="R8" s="70"/>
      <c r="S8" s="70"/>
      <c r="T8" s="70"/>
      <c r="U8" s="70"/>
    </row>
    <row r="9" spans="1:21" ht="20.25" x14ac:dyDescent="0.25">
      <c r="A9" s="88"/>
      <c r="B9" s="88"/>
      <c r="C9" s="90"/>
      <c r="D9" s="90"/>
      <c r="E9" s="70"/>
      <c r="F9" s="70"/>
      <c r="G9" s="70"/>
      <c r="H9" s="70"/>
      <c r="I9" s="70"/>
      <c r="J9" s="70"/>
      <c r="K9" s="70"/>
      <c r="L9" s="70"/>
      <c r="M9" s="70"/>
      <c r="N9" s="70"/>
      <c r="O9" s="70"/>
      <c r="P9" s="70"/>
      <c r="Q9" s="70"/>
      <c r="R9" s="70"/>
      <c r="S9" s="70"/>
      <c r="T9" s="70"/>
      <c r="U9" s="70"/>
    </row>
    <row r="10" spans="1:21" ht="16.5" x14ac:dyDescent="0.25">
      <c r="A10" s="88"/>
      <c r="B10" s="91"/>
      <c r="C10" s="91"/>
      <c r="D10" s="91"/>
      <c r="E10" s="70"/>
      <c r="F10" s="70"/>
      <c r="G10" s="70"/>
      <c r="H10" s="70"/>
      <c r="I10" s="70"/>
      <c r="J10" s="70"/>
      <c r="K10" s="70"/>
      <c r="L10" s="70"/>
      <c r="M10" s="70"/>
      <c r="N10" s="70"/>
      <c r="O10" s="70"/>
      <c r="P10" s="70"/>
      <c r="Q10" s="70"/>
      <c r="R10" s="70"/>
      <c r="S10" s="70"/>
      <c r="T10" s="70"/>
      <c r="U10" s="70"/>
    </row>
    <row r="11" spans="1:21" x14ac:dyDescent="0.25">
      <c r="A11" s="88"/>
      <c r="B11" s="88" t="s">
        <v>87</v>
      </c>
      <c r="C11" s="88" t="s">
        <v>138</v>
      </c>
      <c r="D11" s="88" t="s">
        <v>145</v>
      </c>
      <c r="E11" s="70"/>
      <c r="F11" s="70"/>
      <c r="G11" s="70"/>
      <c r="H11" s="70"/>
      <c r="I11" s="70"/>
      <c r="J11" s="70"/>
      <c r="K11" s="70"/>
      <c r="L11" s="70"/>
      <c r="M11" s="70"/>
      <c r="N11" s="70"/>
      <c r="O11" s="70"/>
      <c r="P11" s="70"/>
      <c r="Q11" s="70"/>
      <c r="R11" s="70"/>
      <c r="S11" s="70"/>
      <c r="T11" s="70"/>
      <c r="U11" s="70"/>
    </row>
    <row r="12" spans="1:21" x14ac:dyDescent="0.25">
      <c r="A12" s="88"/>
      <c r="B12" s="88" t="s">
        <v>85</v>
      </c>
      <c r="C12" s="88" t="s">
        <v>142</v>
      </c>
      <c r="D12" s="88" t="s">
        <v>146</v>
      </c>
      <c r="E12" s="70"/>
      <c r="F12" s="70"/>
      <c r="G12" s="70"/>
      <c r="H12" s="70"/>
      <c r="I12" s="70"/>
      <c r="J12" s="70"/>
      <c r="K12" s="70"/>
      <c r="L12" s="70"/>
      <c r="M12" s="70"/>
      <c r="N12" s="70"/>
      <c r="O12" s="70"/>
      <c r="P12" s="70"/>
      <c r="Q12" s="70"/>
      <c r="R12" s="70"/>
      <c r="S12" s="70"/>
      <c r="T12" s="70"/>
      <c r="U12" s="70"/>
    </row>
    <row r="13" spans="1:21" x14ac:dyDescent="0.25">
      <c r="A13" s="88"/>
      <c r="B13" s="88"/>
      <c r="C13" s="88" t="s">
        <v>141</v>
      </c>
      <c r="D13" s="88" t="s">
        <v>147</v>
      </c>
      <c r="E13" s="70"/>
      <c r="F13" s="70"/>
      <c r="G13" s="70"/>
      <c r="H13" s="70"/>
      <c r="I13" s="70"/>
      <c r="J13" s="70"/>
      <c r="K13" s="70"/>
      <c r="L13" s="70"/>
      <c r="M13" s="70"/>
      <c r="N13" s="70"/>
      <c r="O13" s="70"/>
      <c r="P13" s="70"/>
      <c r="Q13" s="70"/>
      <c r="R13" s="70"/>
      <c r="S13" s="70"/>
      <c r="T13" s="70"/>
      <c r="U13" s="70"/>
    </row>
    <row r="14" spans="1:21" x14ac:dyDescent="0.25">
      <c r="A14" s="88"/>
      <c r="B14" s="88"/>
      <c r="C14" s="88" t="s">
        <v>143</v>
      </c>
      <c r="D14" s="88" t="s">
        <v>148</v>
      </c>
      <c r="E14" s="70"/>
      <c r="F14" s="70"/>
      <c r="G14" s="70"/>
      <c r="H14" s="70"/>
      <c r="I14" s="70"/>
      <c r="J14" s="70"/>
      <c r="K14" s="70"/>
      <c r="L14" s="70"/>
      <c r="M14" s="70"/>
      <c r="N14" s="70"/>
      <c r="O14" s="70"/>
      <c r="P14" s="70"/>
      <c r="Q14" s="70"/>
      <c r="R14" s="70"/>
      <c r="S14" s="70"/>
      <c r="T14" s="70"/>
      <c r="U14" s="70"/>
    </row>
    <row r="15" spans="1:21" x14ac:dyDescent="0.25">
      <c r="A15" s="88"/>
      <c r="B15" s="88"/>
      <c r="C15" s="88" t="s">
        <v>144</v>
      </c>
      <c r="D15" s="88" t="s">
        <v>149</v>
      </c>
      <c r="E15" s="70"/>
      <c r="F15" s="70"/>
      <c r="G15" s="70"/>
      <c r="H15" s="70"/>
      <c r="I15" s="70"/>
      <c r="J15" s="70"/>
      <c r="K15" s="70"/>
      <c r="L15" s="70"/>
      <c r="M15" s="70"/>
      <c r="N15" s="70"/>
      <c r="O15" s="70"/>
      <c r="P15" s="70"/>
      <c r="Q15" s="70"/>
      <c r="R15" s="70"/>
      <c r="S15" s="70"/>
      <c r="T15" s="70"/>
      <c r="U15" s="70"/>
    </row>
    <row r="16" spans="1:21" x14ac:dyDescent="0.25">
      <c r="A16" s="88"/>
      <c r="B16" s="88"/>
      <c r="C16" s="88"/>
      <c r="D16" s="88"/>
      <c r="E16" s="70"/>
      <c r="F16" s="70"/>
      <c r="G16" s="70"/>
      <c r="H16" s="70"/>
      <c r="I16" s="70"/>
      <c r="J16" s="70"/>
      <c r="K16" s="70"/>
      <c r="L16" s="70"/>
      <c r="M16" s="70"/>
      <c r="N16" s="70"/>
      <c r="O16" s="70"/>
    </row>
    <row r="17" spans="1:15" x14ac:dyDescent="0.25">
      <c r="A17" s="88"/>
      <c r="B17" s="88"/>
      <c r="C17" s="88"/>
      <c r="D17" s="88"/>
      <c r="E17" s="70"/>
      <c r="F17" s="70"/>
      <c r="G17" s="70"/>
      <c r="H17" s="70"/>
      <c r="I17" s="70"/>
      <c r="J17" s="70"/>
      <c r="K17" s="70"/>
      <c r="L17" s="70"/>
      <c r="M17" s="70"/>
      <c r="N17" s="70"/>
      <c r="O17" s="70"/>
    </row>
    <row r="18" spans="1:15" x14ac:dyDescent="0.25">
      <c r="A18" s="88"/>
      <c r="B18" s="92"/>
      <c r="C18" s="92"/>
      <c r="D18" s="92"/>
      <c r="E18" s="70"/>
      <c r="F18" s="70"/>
      <c r="G18" s="70"/>
      <c r="H18" s="70"/>
      <c r="I18" s="70"/>
      <c r="J18" s="70"/>
      <c r="K18" s="70"/>
      <c r="L18" s="70"/>
      <c r="M18" s="70"/>
      <c r="N18" s="70"/>
      <c r="O18" s="70"/>
    </row>
    <row r="19" spans="1:15" x14ac:dyDescent="0.25">
      <c r="A19" s="88"/>
      <c r="B19" s="92"/>
      <c r="C19" s="92"/>
      <c r="D19" s="92"/>
      <c r="E19" s="70"/>
      <c r="F19" s="70"/>
      <c r="G19" s="70"/>
      <c r="H19" s="70"/>
      <c r="I19" s="70"/>
      <c r="J19" s="70"/>
      <c r="K19" s="70"/>
      <c r="L19" s="70"/>
      <c r="M19" s="70"/>
      <c r="N19" s="70"/>
      <c r="O19" s="70"/>
    </row>
    <row r="20" spans="1:15" x14ac:dyDescent="0.25">
      <c r="A20" s="88"/>
      <c r="B20" s="92"/>
      <c r="C20" s="92"/>
      <c r="D20" s="92"/>
      <c r="E20" s="70"/>
      <c r="F20" s="70"/>
      <c r="G20" s="70"/>
      <c r="H20" s="70"/>
      <c r="I20" s="70"/>
      <c r="J20" s="70"/>
      <c r="K20" s="70"/>
      <c r="L20" s="70"/>
      <c r="M20" s="70"/>
      <c r="N20" s="70"/>
      <c r="O20" s="70"/>
    </row>
    <row r="21" spans="1:15" x14ac:dyDescent="0.25">
      <c r="A21" s="88"/>
      <c r="B21" s="92"/>
      <c r="C21" s="92"/>
      <c r="D21" s="92"/>
      <c r="E21" s="70"/>
      <c r="F21" s="70"/>
      <c r="G21" s="70"/>
      <c r="H21" s="70"/>
      <c r="I21" s="70"/>
      <c r="J21" s="70"/>
      <c r="K21" s="70"/>
      <c r="L21" s="70"/>
      <c r="M21" s="70"/>
      <c r="N21" s="70"/>
      <c r="O21" s="70"/>
    </row>
    <row r="22" spans="1:15" ht="20.25" x14ac:dyDescent="0.25">
      <c r="A22" s="88"/>
      <c r="B22" s="88"/>
      <c r="C22" s="90"/>
      <c r="D22" s="90"/>
      <c r="E22" s="70"/>
      <c r="F22" s="70"/>
      <c r="G22" s="70"/>
      <c r="H22" s="70"/>
      <c r="I22" s="70"/>
      <c r="J22" s="70"/>
      <c r="K22" s="70"/>
      <c r="L22" s="70"/>
      <c r="M22" s="70"/>
      <c r="N22" s="70"/>
      <c r="O22" s="70"/>
    </row>
    <row r="23" spans="1:15" ht="20.25" x14ac:dyDescent="0.25">
      <c r="A23" s="88"/>
      <c r="B23" s="88"/>
      <c r="C23" s="90"/>
      <c r="D23" s="90"/>
      <c r="E23" s="70"/>
      <c r="F23" s="70"/>
      <c r="G23" s="70"/>
      <c r="H23" s="70"/>
      <c r="I23" s="70"/>
      <c r="J23" s="70"/>
      <c r="K23" s="70"/>
      <c r="L23" s="70"/>
      <c r="M23" s="70"/>
      <c r="N23" s="70"/>
      <c r="O23" s="70"/>
    </row>
    <row r="24" spans="1:15" ht="20.25" x14ac:dyDescent="0.25">
      <c r="A24" s="88"/>
      <c r="B24" s="88"/>
      <c r="C24" s="90"/>
      <c r="D24" s="90"/>
      <c r="E24" s="70"/>
      <c r="F24" s="70"/>
      <c r="G24" s="70"/>
      <c r="H24" s="70"/>
      <c r="I24" s="70"/>
      <c r="J24" s="70"/>
      <c r="K24" s="70"/>
      <c r="L24" s="70"/>
      <c r="M24" s="70"/>
      <c r="N24" s="70"/>
      <c r="O24" s="70"/>
    </row>
    <row r="25" spans="1:15" ht="20.25" x14ac:dyDescent="0.25">
      <c r="A25" s="88"/>
      <c r="B25" s="88"/>
      <c r="C25" s="90"/>
      <c r="D25" s="90"/>
      <c r="E25" s="70"/>
      <c r="F25" s="70"/>
      <c r="G25" s="70"/>
      <c r="H25" s="70"/>
      <c r="I25" s="70"/>
      <c r="J25" s="70"/>
      <c r="K25" s="70"/>
      <c r="L25" s="70"/>
      <c r="M25" s="70"/>
      <c r="N25" s="70"/>
      <c r="O25" s="70"/>
    </row>
    <row r="26" spans="1:15" ht="20.25" x14ac:dyDescent="0.25">
      <c r="A26" s="88"/>
      <c r="B26" s="88"/>
      <c r="C26" s="90"/>
      <c r="D26" s="90"/>
      <c r="E26" s="70"/>
      <c r="F26" s="70"/>
      <c r="G26" s="70"/>
      <c r="H26" s="70"/>
      <c r="I26" s="70"/>
      <c r="J26" s="70"/>
      <c r="K26" s="70"/>
      <c r="L26" s="70"/>
      <c r="M26" s="70"/>
      <c r="N26" s="70"/>
      <c r="O26" s="70"/>
    </row>
    <row r="27" spans="1:15" ht="20.25" x14ac:dyDescent="0.25">
      <c r="A27" s="88"/>
      <c r="B27" s="88"/>
      <c r="C27" s="90"/>
      <c r="D27" s="90"/>
      <c r="E27" s="70"/>
      <c r="F27" s="70"/>
      <c r="G27" s="70"/>
      <c r="H27" s="70"/>
      <c r="I27" s="70"/>
      <c r="J27" s="70"/>
      <c r="K27" s="70"/>
      <c r="L27" s="70"/>
      <c r="M27" s="70"/>
      <c r="N27" s="70"/>
      <c r="O27" s="70"/>
    </row>
    <row r="28" spans="1:15" ht="20.25" x14ac:dyDescent="0.25">
      <c r="A28" s="88"/>
      <c r="B28" s="88"/>
      <c r="C28" s="90"/>
      <c r="D28" s="90"/>
      <c r="E28" s="70"/>
      <c r="F28" s="70"/>
      <c r="G28" s="70"/>
      <c r="H28" s="70"/>
      <c r="I28" s="70"/>
      <c r="J28" s="70"/>
      <c r="K28" s="70"/>
      <c r="L28" s="70"/>
      <c r="M28" s="70"/>
      <c r="N28" s="70"/>
      <c r="O28" s="70"/>
    </row>
    <row r="29" spans="1:15" ht="20.25" x14ac:dyDescent="0.25">
      <c r="A29" s="88"/>
      <c r="B29" s="88"/>
      <c r="C29" s="90"/>
      <c r="D29" s="90"/>
      <c r="E29" s="70"/>
      <c r="F29" s="70"/>
      <c r="G29" s="70"/>
      <c r="H29" s="70"/>
      <c r="I29" s="70"/>
      <c r="J29" s="70"/>
      <c r="K29" s="70"/>
      <c r="L29" s="70"/>
      <c r="M29" s="70"/>
      <c r="N29" s="70"/>
      <c r="O29" s="70"/>
    </row>
    <row r="30" spans="1:15" ht="20.25" x14ac:dyDescent="0.25">
      <c r="A30" s="88"/>
      <c r="B30" s="88"/>
      <c r="C30" s="90"/>
      <c r="D30" s="90"/>
      <c r="E30" s="70"/>
      <c r="F30" s="70"/>
      <c r="G30" s="70"/>
      <c r="H30" s="70"/>
      <c r="I30" s="70"/>
      <c r="J30" s="70"/>
      <c r="K30" s="70"/>
      <c r="L30" s="70"/>
      <c r="M30" s="70"/>
      <c r="N30" s="70"/>
      <c r="O30" s="70"/>
    </row>
    <row r="31" spans="1:15" ht="20.25" x14ac:dyDescent="0.25">
      <c r="A31" s="88"/>
      <c r="B31" s="88"/>
      <c r="C31" s="90"/>
      <c r="D31" s="90"/>
      <c r="E31" s="70"/>
      <c r="F31" s="70"/>
      <c r="G31" s="70"/>
      <c r="H31" s="70"/>
      <c r="I31" s="70"/>
      <c r="J31" s="70"/>
      <c r="K31" s="70"/>
      <c r="L31" s="70"/>
      <c r="M31" s="70"/>
      <c r="N31" s="70"/>
      <c r="O31" s="70"/>
    </row>
    <row r="32" spans="1:15" ht="20.25" x14ac:dyDescent="0.25">
      <c r="A32" s="88"/>
      <c r="B32" s="88"/>
      <c r="C32" s="90"/>
      <c r="D32" s="90"/>
      <c r="E32" s="70"/>
      <c r="F32" s="70"/>
      <c r="G32" s="70"/>
      <c r="H32" s="70"/>
      <c r="I32" s="70"/>
      <c r="J32" s="70"/>
      <c r="K32" s="70"/>
      <c r="L32" s="70"/>
      <c r="M32" s="70"/>
      <c r="N32" s="70"/>
      <c r="O32" s="70"/>
    </row>
    <row r="33" spans="1:15" ht="20.25" x14ac:dyDescent="0.25">
      <c r="A33" s="88"/>
      <c r="B33" s="88"/>
      <c r="C33" s="90"/>
      <c r="D33" s="90"/>
      <c r="E33" s="70"/>
      <c r="F33" s="70"/>
      <c r="G33" s="70"/>
      <c r="H33" s="70"/>
      <c r="I33" s="70"/>
      <c r="J33" s="70"/>
      <c r="K33" s="70"/>
      <c r="L33" s="70"/>
      <c r="M33" s="70"/>
      <c r="N33" s="70"/>
      <c r="O33" s="70"/>
    </row>
    <row r="34" spans="1:15" ht="20.25" x14ac:dyDescent="0.25">
      <c r="A34" s="88"/>
      <c r="B34" s="88"/>
      <c r="C34" s="90"/>
      <c r="D34" s="90"/>
      <c r="E34" s="70"/>
      <c r="F34" s="70"/>
      <c r="G34" s="70"/>
      <c r="H34" s="70"/>
      <c r="I34" s="70"/>
      <c r="J34" s="70"/>
      <c r="K34" s="70"/>
      <c r="L34" s="70"/>
      <c r="M34" s="70"/>
      <c r="N34" s="70"/>
      <c r="O34" s="70"/>
    </row>
    <row r="35" spans="1:15" ht="20.25" x14ac:dyDescent="0.25">
      <c r="A35" s="88"/>
      <c r="B35" s="88"/>
      <c r="C35" s="90"/>
      <c r="D35" s="90"/>
      <c r="E35" s="70"/>
      <c r="F35" s="70"/>
      <c r="G35" s="70"/>
      <c r="H35" s="70"/>
      <c r="I35" s="70"/>
      <c r="J35" s="70"/>
      <c r="K35" s="70"/>
      <c r="L35" s="70"/>
      <c r="M35" s="70"/>
      <c r="N35" s="70"/>
      <c r="O35" s="70"/>
    </row>
    <row r="36" spans="1:15" ht="20.25" x14ac:dyDescent="0.25">
      <c r="A36" s="88"/>
      <c r="B36" s="88"/>
      <c r="C36" s="90"/>
      <c r="D36" s="90"/>
      <c r="E36" s="70"/>
      <c r="F36" s="70"/>
      <c r="G36" s="70"/>
      <c r="H36" s="70"/>
      <c r="I36" s="70"/>
      <c r="J36" s="70"/>
      <c r="K36" s="70"/>
      <c r="L36" s="70"/>
      <c r="M36" s="70"/>
      <c r="N36" s="70"/>
      <c r="O36" s="70"/>
    </row>
    <row r="37" spans="1:15" ht="20.25" x14ac:dyDescent="0.25">
      <c r="A37" s="88"/>
      <c r="B37" s="88"/>
      <c r="C37" s="90"/>
      <c r="D37" s="90"/>
      <c r="E37" s="70"/>
      <c r="F37" s="70"/>
      <c r="G37" s="70"/>
      <c r="H37" s="70"/>
      <c r="I37" s="70"/>
      <c r="J37" s="70"/>
      <c r="K37" s="70"/>
      <c r="L37" s="70"/>
      <c r="M37" s="70"/>
      <c r="N37" s="70"/>
      <c r="O37" s="70"/>
    </row>
    <row r="38" spans="1:15" ht="20.25" x14ac:dyDescent="0.25">
      <c r="A38" s="88"/>
      <c r="B38" s="88"/>
      <c r="C38" s="90"/>
      <c r="D38" s="90"/>
      <c r="E38" s="70"/>
      <c r="F38" s="70"/>
      <c r="G38" s="70"/>
      <c r="H38" s="70"/>
      <c r="I38" s="70"/>
      <c r="J38" s="70"/>
      <c r="K38" s="70"/>
      <c r="L38" s="70"/>
      <c r="M38" s="70"/>
      <c r="N38" s="70"/>
      <c r="O38" s="70"/>
    </row>
    <row r="39" spans="1:15" ht="20.25" x14ac:dyDescent="0.25">
      <c r="A39" s="88"/>
      <c r="B39" s="88"/>
      <c r="C39" s="90"/>
      <c r="D39" s="90"/>
      <c r="E39" s="70"/>
      <c r="F39" s="70"/>
      <c r="G39" s="70"/>
      <c r="H39" s="70"/>
      <c r="I39" s="70"/>
      <c r="J39" s="70"/>
      <c r="K39" s="70"/>
      <c r="L39" s="70"/>
      <c r="M39" s="70"/>
      <c r="N39" s="70"/>
      <c r="O39" s="70"/>
    </row>
    <row r="40" spans="1:15" ht="20.25" x14ac:dyDescent="0.25">
      <c r="A40" s="88"/>
      <c r="B40" s="88"/>
      <c r="C40" s="90"/>
      <c r="D40" s="90"/>
      <c r="E40" s="70"/>
      <c r="F40" s="70"/>
      <c r="G40" s="70"/>
      <c r="H40" s="70"/>
      <c r="I40" s="70"/>
      <c r="J40" s="70"/>
      <c r="K40" s="70"/>
      <c r="L40" s="70"/>
      <c r="M40" s="70"/>
      <c r="N40" s="70"/>
      <c r="O40" s="70"/>
    </row>
    <row r="41" spans="1:15" ht="20.25" x14ac:dyDescent="0.25">
      <c r="A41" s="88"/>
      <c r="B41" s="88"/>
      <c r="C41" s="90"/>
      <c r="D41" s="90"/>
      <c r="E41" s="70"/>
      <c r="F41" s="70"/>
      <c r="G41" s="70"/>
      <c r="H41" s="70"/>
      <c r="I41" s="70"/>
      <c r="J41" s="70"/>
      <c r="K41" s="70"/>
      <c r="L41" s="70"/>
      <c r="M41" s="70"/>
      <c r="N41" s="70"/>
      <c r="O41" s="70"/>
    </row>
    <row r="42" spans="1:15" ht="20.25" x14ac:dyDescent="0.25">
      <c r="A42" s="88"/>
      <c r="B42" s="88"/>
      <c r="C42" s="90"/>
      <c r="D42" s="90"/>
      <c r="E42" s="70"/>
      <c r="F42" s="70"/>
      <c r="G42" s="70"/>
      <c r="H42" s="70"/>
      <c r="I42" s="70"/>
      <c r="J42" s="70"/>
      <c r="K42" s="70"/>
      <c r="L42" s="70"/>
      <c r="M42" s="70"/>
      <c r="N42" s="70"/>
      <c r="O42" s="70"/>
    </row>
    <row r="43" spans="1:15" ht="20.25" x14ac:dyDescent="0.25">
      <c r="A43" s="88"/>
      <c r="B43" s="88"/>
      <c r="C43" s="90"/>
      <c r="D43" s="90"/>
      <c r="E43" s="70"/>
      <c r="F43" s="70"/>
      <c r="G43" s="70"/>
      <c r="H43" s="70"/>
      <c r="I43" s="70"/>
      <c r="J43" s="70"/>
      <c r="K43" s="70"/>
      <c r="L43" s="70"/>
      <c r="M43" s="70"/>
      <c r="N43" s="70"/>
      <c r="O43" s="70"/>
    </row>
    <row r="44" spans="1:15" ht="20.25" x14ac:dyDescent="0.25">
      <c r="A44" s="88"/>
      <c r="B44" s="88"/>
      <c r="C44" s="90"/>
      <c r="D44" s="90"/>
      <c r="E44" s="70"/>
      <c r="F44" s="70"/>
      <c r="G44" s="70"/>
      <c r="H44" s="70"/>
      <c r="I44" s="70"/>
      <c r="J44" s="70"/>
      <c r="K44" s="70"/>
      <c r="L44" s="70"/>
      <c r="M44" s="70"/>
      <c r="N44" s="70"/>
      <c r="O44" s="70"/>
    </row>
    <row r="45" spans="1:15" ht="20.25" x14ac:dyDescent="0.25">
      <c r="A45" s="88"/>
      <c r="B45" s="88"/>
      <c r="C45" s="90"/>
      <c r="D45" s="90"/>
      <c r="E45" s="70"/>
      <c r="F45" s="70"/>
      <c r="G45" s="70"/>
      <c r="H45" s="70"/>
      <c r="I45" s="70"/>
      <c r="J45" s="70"/>
      <c r="K45" s="70"/>
      <c r="L45" s="70"/>
      <c r="M45" s="70"/>
      <c r="N45" s="70"/>
      <c r="O45" s="70"/>
    </row>
    <row r="46" spans="1:15" ht="20.25" x14ac:dyDescent="0.25">
      <c r="A46" s="88"/>
      <c r="B46" s="88"/>
      <c r="C46" s="90"/>
      <c r="D46" s="90"/>
      <c r="E46" s="70"/>
      <c r="F46" s="70"/>
      <c r="G46" s="70"/>
      <c r="H46" s="70"/>
      <c r="I46" s="70"/>
      <c r="J46" s="70"/>
      <c r="K46" s="70"/>
      <c r="L46" s="70"/>
      <c r="M46" s="70"/>
      <c r="N46" s="70"/>
      <c r="O46" s="70"/>
    </row>
    <row r="47" spans="1:15" ht="20.25" x14ac:dyDescent="0.25">
      <c r="A47" s="88"/>
      <c r="B47" s="88"/>
      <c r="C47" s="90"/>
      <c r="D47" s="90"/>
      <c r="E47" s="70"/>
      <c r="F47" s="70"/>
      <c r="G47" s="70"/>
      <c r="H47" s="70"/>
      <c r="I47" s="70"/>
      <c r="J47" s="70"/>
      <c r="K47" s="70"/>
      <c r="L47" s="70"/>
      <c r="M47" s="70"/>
      <c r="N47" s="70"/>
      <c r="O47" s="70"/>
    </row>
    <row r="48" spans="1:15" ht="20.25" x14ac:dyDescent="0.25">
      <c r="A48" s="88"/>
      <c r="B48" s="88"/>
      <c r="C48" s="90"/>
      <c r="D48" s="90"/>
      <c r="E48" s="70"/>
      <c r="F48" s="70"/>
      <c r="G48" s="70"/>
      <c r="H48" s="70"/>
      <c r="I48" s="70"/>
      <c r="J48" s="70"/>
      <c r="K48" s="70"/>
      <c r="L48" s="70"/>
      <c r="M48" s="70"/>
      <c r="N48" s="70"/>
      <c r="O48" s="70"/>
    </row>
    <row r="49" spans="1:15" ht="20.25" x14ac:dyDescent="0.25">
      <c r="A49" s="88"/>
      <c r="B49" s="88"/>
      <c r="C49" s="90"/>
      <c r="D49" s="90"/>
      <c r="E49" s="70"/>
      <c r="F49" s="70"/>
      <c r="G49" s="70"/>
      <c r="H49" s="70"/>
      <c r="I49" s="70"/>
      <c r="J49" s="70"/>
      <c r="K49" s="70"/>
      <c r="L49" s="70"/>
      <c r="M49" s="70"/>
      <c r="N49" s="70"/>
      <c r="O49" s="70"/>
    </row>
    <row r="50" spans="1:15" ht="20.25" x14ac:dyDescent="0.25">
      <c r="A50" s="88"/>
      <c r="B50" s="88"/>
      <c r="C50" s="90"/>
      <c r="D50" s="90"/>
      <c r="E50" s="70"/>
      <c r="F50" s="70"/>
      <c r="G50" s="70"/>
      <c r="H50" s="70"/>
      <c r="I50" s="70"/>
      <c r="J50" s="70"/>
      <c r="K50" s="70"/>
      <c r="L50" s="70"/>
      <c r="M50" s="70"/>
      <c r="N50" s="70"/>
      <c r="O50" s="70"/>
    </row>
    <row r="51" spans="1:15" ht="20.25" x14ac:dyDescent="0.25">
      <c r="A51" s="88"/>
      <c r="B51" s="88"/>
      <c r="C51" s="90"/>
      <c r="D51" s="90"/>
      <c r="E51" s="70"/>
      <c r="F51" s="70"/>
      <c r="G51" s="70"/>
      <c r="H51" s="70"/>
      <c r="I51" s="70"/>
      <c r="J51" s="70"/>
      <c r="K51" s="70"/>
      <c r="L51" s="70"/>
      <c r="M51" s="70"/>
      <c r="N51" s="70"/>
      <c r="O51" s="70"/>
    </row>
    <row r="52" spans="1:15" ht="20.25" x14ac:dyDescent="0.25">
      <c r="A52" s="88"/>
      <c r="B52" s="15"/>
      <c r="C52" s="20"/>
      <c r="D52" s="20"/>
    </row>
    <row r="53" spans="1:15" ht="20.25" x14ac:dyDescent="0.25">
      <c r="A53" s="88"/>
      <c r="B53" s="15"/>
      <c r="C53" s="20"/>
      <c r="D53" s="20"/>
    </row>
    <row r="54" spans="1:15" ht="20.25" x14ac:dyDescent="0.25">
      <c r="A54" s="88"/>
      <c r="B54" s="15"/>
      <c r="C54" s="20"/>
      <c r="D54" s="20"/>
    </row>
    <row r="55" spans="1:15" ht="20.25" x14ac:dyDescent="0.25">
      <c r="A55" s="88"/>
      <c r="B55" s="15"/>
      <c r="C55" s="20"/>
      <c r="D55" s="20"/>
    </row>
    <row r="56" spans="1:15" ht="20.25" x14ac:dyDescent="0.25">
      <c r="A56" s="88"/>
      <c r="B56" s="15"/>
      <c r="C56" s="20"/>
      <c r="D56" s="20"/>
    </row>
    <row r="57" spans="1:15" ht="20.25" x14ac:dyDescent="0.25">
      <c r="A57" s="88"/>
      <c r="B57" s="15"/>
      <c r="C57" s="20"/>
      <c r="D57" s="20"/>
    </row>
    <row r="58" spans="1:15" ht="20.25" x14ac:dyDescent="0.25">
      <c r="A58" s="88"/>
      <c r="B58" s="15"/>
      <c r="C58" s="20"/>
      <c r="D58" s="20"/>
    </row>
    <row r="59" spans="1:15" ht="20.25" x14ac:dyDescent="0.25">
      <c r="A59" s="88"/>
      <c r="B59" s="15"/>
      <c r="C59" s="20"/>
      <c r="D59" s="20"/>
    </row>
    <row r="60" spans="1:15" ht="20.25" x14ac:dyDescent="0.25">
      <c r="A60" s="88"/>
      <c r="B60" s="15"/>
      <c r="C60" s="20"/>
      <c r="D60" s="20"/>
    </row>
    <row r="61" spans="1:15" ht="20.25" x14ac:dyDescent="0.25">
      <c r="A61" s="88"/>
      <c r="B61" s="15"/>
      <c r="C61" s="20"/>
      <c r="D61" s="20"/>
    </row>
    <row r="62" spans="1:15" ht="20.25" x14ac:dyDescent="0.25">
      <c r="A62" s="88"/>
      <c r="B62" s="15"/>
      <c r="C62" s="20"/>
      <c r="D62" s="20"/>
    </row>
    <row r="63" spans="1:15" ht="20.25" x14ac:dyDescent="0.25">
      <c r="A63" s="88"/>
      <c r="B63" s="15"/>
      <c r="C63" s="20"/>
      <c r="D63" s="20"/>
    </row>
    <row r="64" spans="1:15" ht="20.25" x14ac:dyDescent="0.25">
      <c r="A64" s="88"/>
      <c r="B64" s="15"/>
      <c r="C64" s="20"/>
      <c r="D64" s="20"/>
    </row>
    <row r="65" spans="1:4" ht="20.25" x14ac:dyDescent="0.25">
      <c r="A65" s="88"/>
      <c r="B65" s="15"/>
      <c r="C65" s="20"/>
      <c r="D65" s="20"/>
    </row>
    <row r="66" spans="1:4" ht="20.25" x14ac:dyDescent="0.25">
      <c r="A66" s="88"/>
      <c r="B66" s="15"/>
      <c r="C66" s="20"/>
      <c r="D66" s="20"/>
    </row>
    <row r="67" spans="1:4" ht="20.25" x14ac:dyDescent="0.25">
      <c r="A67" s="88"/>
      <c r="B67" s="15"/>
      <c r="C67" s="20"/>
      <c r="D67" s="20"/>
    </row>
    <row r="68" spans="1:4" ht="20.25" x14ac:dyDescent="0.25">
      <c r="A68" s="88"/>
      <c r="B68" s="15"/>
      <c r="C68" s="20"/>
      <c r="D68" s="20"/>
    </row>
    <row r="69" spans="1:4" ht="20.25" x14ac:dyDescent="0.25">
      <c r="A69" s="88"/>
      <c r="B69" s="15"/>
      <c r="C69" s="20"/>
      <c r="D69" s="20"/>
    </row>
    <row r="70" spans="1:4" ht="20.25" x14ac:dyDescent="0.25">
      <c r="A70" s="88"/>
      <c r="B70" s="15"/>
      <c r="C70" s="20"/>
      <c r="D70" s="20"/>
    </row>
    <row r="71" spans="1:4" ht="20.25" x14ac:dyDescent="0.25">
      <c r="A71" s="88"/>
      <c r="B71" s="15"/>
      <c r="C71" s="20"/>
      <c r="D71" s="20"/>
    </row>
    <row r="72" spans="1:4" ht="20.25" x14ac:dyDescent="0.25">
      <c r="A72" s="88"/>
      <c r="B72" s="15"/>
      <c r="C72" s="20"/>
      <c r="D72" s="20"/>
    </row>
    <row r="73" spans="1:4" ht="20.25" x14ac:dyDescent="0.25">
      <c r="A73" s="88"/>
      <c r="B73" s="15"/>
      <c r="C73" s="20"/>
      <c r="D73" s="20"/>
    </row>
    <row r="74" spans="1:4" ht="20.25" x14ac:dyDescent="0.25">
      <c r="A74" s="88"/>
      <c r="B74" s="15"/>
      <c r="C74" s="20"/>
      <c r="D74" s="20"/>
    </row>
    <row r="75" spans="1:4" ht="20.25" x14ac:dyDescent="0.25">
      <c r="A75" s="88"/>
      <c r="B75" s="15"/>
      <c r="C75" s="20"/>
      <c r="D75" s="20"/>
    </row>
    <row r="76" spans="1:4" ht="20.25" x14ac:dyDescent="0.25">
      <c r="A76" s="88"/>
      <c r="B76" s="15"/>
      <c r="C76" s="20"/>
      <c r="D76" s="20"/>
    </row>
    <row r="77" spans="1:4" ht="20.25" x14ac:dyDescent="0.25">
      <c r="A77" s="88"/>
      <c r="B77" s="15"/>
      <c r="C77" s="20"/>
      <c r="D77" s="20"/>
    </row>
    <row r="78" spans="1:4" ht="20.25" x14ac:dyDescent="0.25">
      <c r="A78" s="88"/>
      <c r="B78" s="15"/>
      <c r="C78" s="20"/>
      <c r="D78" s="20"/>
    </row>
    <row r="79" spans="1:4" ht="20.25" x14ac:dyDescent="0.25">
      <c r="A79" s="88"/>
      <c r="B79" s="15"/>
      <c r="C79" s="20"/>
      <c r="D79" s="20"/>
    </row>
    <row r="80" spans="1:4" ht="20.25" x14ac:dyDescent="0.25">
      <c r="A80" s="88"/>
      <c r="B80" s="15"/>
      <c r="C80" s="20"/>
      <c r="D80" s="20"/>
    </row>
    <row r="81" spans="1:4" ht="20.25" x14ac:dyDescent="0.25">
      <c r="A81" s="88"/>
      <c r="B81" s="15"/>
      <c r="C81" s="20"/>
      <c r="D81" s="20"/>
    </row>
    <row r="82" spans="1:4" ht="20.25" x14ac:dyDescent="0.25">
      <c r="A82" s="88"/>
      <c r="B82" s="15"/>
      <c r="C82" s="20"/>
      <c r="D82" s="20"/>
    </row>
    <row r="83" spans="1:4" ht="20.25" x14ac:dyDescent="0.25">
      <c r="A83" s="88"/>
      <c r="B83" s="15"/>
      <c r="C83" s="20"/>
      <c r="D83" s="20"/>
    </row>
    <row r="84" spans="1:4" ht="20.25" x14ac:dyDescent="0.25">
      <c r="A84" s="88"/>
      <c r="B84" s="15"/>
      <c r="C84" s="20"/>
      <c r="D84" s="20"/>
    </row>
    <row r="85" spans="1:4" ht="20.25" x14ac:dyDescent="0.25">
      <c r="A85" s="88"/>
      <c r="B85" s="15"/>
      <c r="C85" s="20"/>
      <c r="D85" s="20"/>
    </row>
    <row r="86" spans="1:4" ht="20.25" x14ac:dyDescent="0.25">
      <c r="A86" s="88"/>
      <c r="B86" s="15"/>
      <c r="C86" s="20"/>
      <c r="D86" s="20"/>
    </row>
    <row r="87" spans="1:4" ht="20.25" x14ac:dyDescent="0.25">
      <c r="A87" s="88"/>
      <c r="B87" s="15"/>
      <c r="C87" s="20"/>
      <c r="D87" s="20"/>
    </row>
    <row r="88" spans="1:4" ht="20.25" x14ac:dyDescent="0.25">
      <c r="A88" s="88"/>
      <c r="B88" s="15"/>
      <c r="C88" s="20"/>
      <c r="D88" s="20"/>
    </row>
    <row r="89" spans="1:4" ht="20.25" x14ac:dyDescent="0.25">
      <c r="A89" s="88"/>
      <c r="B89" s="15"/>
      <c r="C89" s="20"/>
      <c r="D89" s="20"/>
    </row>
    <row r="90" spans="1:4" ht="20.25" x14ac:dyDescent="0.25">
      <c r="A90" s="88"/>
      <c r="B90" s="15"/>
      <c r="C90" s="20"/>
      <c r="D90" s="20"/>
    </row>
    <row r="91" spans="1:4" ht="20.25" x14ac:dyDescent="0.25">
      <c r="A91" s="88"/>
      <c r="B91" s="15"/>
      <c r="C91" s="20"/>
      <c r="D91" s="20"/>
    </row>
    <row r="92" spans="1:4" ht="20.25" x14ac:dyDescent="0.25">
      <c r="A92" s="88"/>
      <c r="B92" s="15"/>
      <c r="C92" s="20"/>
      <c r="D92" s="20"/>
    </row>
    <row r="93" spans="1:4" ht="20.25" x14ac:dyDescent="0.25">
      <c r="A93" s="88"/>
      <c r="B93" s="15"/>
      <c r="C93" s="20"/>
      <c r="D93" s="20"/>
    </row>
    <row r="94" spans="1:4" ht="20.25" x14ac:dyDescent="0.25">
      <c r="A94" s="88"/>
      <c r="B94" s="15"/>
      <c r="C94" s="20"/>
      <c r="D94" s="20"/>
    </row>
    <row r="95" spans="1:4" ht="20.25" x14ac:dyDescent="0.25">
      <c r="A95" s="88"/>
      <c r="B95" s="15"/>
      <c r="C95" s="20"/>
      <c r="D95" s="20"/>
    </row>
    <row r="96" spans="1:4" ht="20.25" x14ac:dyDescent="0.25">
      <c r="A96" s="88"/>
      <c r="B96" s="15"/>
      <c r="C96" s="20"/>
      <c r="D96" s="20"/>
    </row>
    <row r="97" spans="1:4" ht="20.25" x14ac:dyDescent="0.25">
      <c r="A97" s="88"/>
      <c r="B97" s="15"/>
      <c r="C97" s="20"/>
      <c r="D97" s="20"/>
    </row>
    <row r="98" spans="1:4" ht="20.25" x14ac:dyDescent="0.25">
      <c r="A98" s="88"/>
      <c r="B98" s="15"/>
      <c r="C98" s="20"/>
      <c r="D98" s="20"/>
    </row>
    <row r="99" spans="1:4" ht="20.25" x14ac:dyDescent="0.25">
      <c r="A99" s="88"/>
      <c r="B99" s="15"/>
      <c r="C99" s="20"/>
      <c r="D99" s="20"/>
    </row>
    <row r="100" spans="1:4" ht="20.25" x14ac:dyDescent="0.25">
      <c r="A100" s="88"/>
      <c r="B100" s="15"/>
      <c r="C100" s="20"/>
      <c r="D100" s="20"/>
    </row>
    <row r="101" spans="1:4" ht="20.25" x14ac:dyDescent="0.25">
      <c r="A101" s="88"/>
      <c r="B101" s="15"/>
      <c r="C101" s="20"/>
      <c r="D101" s="20"/>
    </row>
    <row r="102" spans="1:4" ht="20.25" x14ac:dyDescent="0.25">
      <c r="A102" s="88"/>
      <c r="B102" s="15"/>
      <c r="C102" s="20"/>
      <c r="D102" s="20"/>
    </row>
    <row r="103" spans="1:4" ht="20.25" x14ac:dyDescent="0.25">
      <c r="A103" s="88"/>
      <c r="B103" s="15"/>
      <c r="C103" s="20"/>
      <c r="D103" s="20"/>
    </row>
    <row r="104" spans="1:4" ht="20.25" x14ac:dyDescent="0.25">
      <c r="A104" s="88"/>
      <c r="B104" s="15"/>
      <c r="C104" s="20"/>
      <c r="D104" s="20"/>
    </row>
    <row r="105" spans="1:4" ht="20.25" x14ac:dyDescent="0.25">
      <c r="A105" s="88"/>
      <c r="B105" s="15"/>
      <c r="C105" s="20"/>
      <c r="D105" s="20"/>
    </row>
    <row r="106" spans="1:4" ht="20.25" x14ac:dyDescent="0.25">
      <c r="A106" s="88"/>
      <c r="B106" s="15"/>
      <c r="C106" s="20"/>
      <c r="D106" s="20"/>
    </row>
    <row r="107" spans="1:4" ht="20.25" x14ac:dyDescent="0.25">
      <c r="A107" s="88"/>
      <c r="B107" s="15"/>
      <c r="C107" s="20"/>
      <c r="D107" s="20"/>
    </row>
    <row r="108" spans="1:4" ht="20.25" x14ac:dyDescent="0.25">
      <c r="A108" s="88"/>
      <c r="B108" s="15"/>
      <c r="C108" s="20"/>
      <c r="D108" s="20"/>
    </row>
    <row r="109" spans="1:4" ht="20.25" x14ac:dyDescent="0.25">
      <c r="A109" s="88"/>
      <c r="B109" s="15"/>
      <c r="C109" s="20"/>
      <c r="D109" s="20"/>
    </row>
    <row r="110" spans="1:4" ht="20.25" x14ac:dyDescent="0.25">
      <c r="A110" s="88"/>
      <c r="B110" s="15"/>
      <c r="C110" s="20"/>
      <c r="D110" s="20"/>
    </row>
    <row r="111" spans="1:4" ht="20.25" x14ac:dyDescent="0.25">
      <c r="A111" s="88"/>
      <c r="B111" s="15"/>
      <c r="C111" s="20"/>
      <c r="D111" s="20"/>
    </row>
    <row r="112" spans="1:4" ht="20.25" x14ac:dyDescent="0.25">
      <c r="A112" s="88"/>
      <c r="B112" s="15"/>
      <c r="C112" s="20"/>
      <c r="D112" s="20"/>
    </row>
    <row r="113" spans="1:4" ht="20.25" x14ac:dyDescent="0.25">
      <c r="A113" s="88"/>
      <c r="B113" s="15"/>
      <c r="C113" s="20"/>
      <c r="D113" s="20"/>
    </row>
    <row r="114" spans="1:4" ht="20.25" x14ac:dyDescent="0.25">
      <c r="A114" s="88"/>
      <c r="B114" s="15"/>
      <c r="C114" s="20"/>
      <c r="D114" s="20"/>
    </row>
    <row r="115" spans="1:4" ht="20.25" x14ac:dyDescent="0.25">
      <c r="A115" s="88"/>
      <c r="B115" s="15"/>
      <c r="C115" s="20"/>
      <c r="D115" s="20"/>
    </row>
    <row r="116" spans="1:4" ht="20.25" x14ac:dyDescent="0.25">
      <c r="A116" s="88"/>
      <c r="B116" s="15"/>
      <c r="C116" s="20"/>
      <c r="D116" s="20"/>
    </row>
    <row r="117" spans="1:4" ht="20.25" x14ac:dyDescent="0.25">
      <c r="A117" s="88"/>
      <c r="B117" s="15"/>
      <c r="C117" s="20"/>
      <c r="D117" s="20"/>
    </row>
    <row r="118" spans="1:4" ht="20.25" x14ac:dyDescent="0.25">
      <c r="A118" s="88"/>
      <c r="B118" s="15"/>
      <c r="C118" s="20"/>
      <c r="D118" s="20"/>
    </row>
    <row r="119" spans="1:4" ht="20.25" x14ac:dyDescent="0.25">
      <c r="A119" s="88"/>
      <c r="B119" s="15"/>
      <c r="C119" s="20"/>
      <c r="D119" s="20"/>
    </row>
    <row r="120" spans="1:4" ht="20.25" x14ac:dyDescent="0.25">
      <c r="A120" s="88"/>
      <c r="B120" s="15"/>
      <c r="C120" s="20"/>
      <c r="D120" s="20"/>
    </row>
    <row r="121" spans="1:4" ht="20.25" x14ac:dyDescent="0.25">
      <c r="A121" s="88"/>
      <c r="B121" s="15"/>
      <c r="C121" s="20"/>
      <c r="D121" s="20"/>
    </row>
    <row r="122" spans="1:4" ht="20.25" x14ac:dyDescent="0.25">
      <c r="A122" s="88"/>
      <c r="B122" s="15"/>
      <c r="C122" s="20"/>
      <c r="D122" s="20"/>
    </row>
    <row r="123" spans="1:4" ht="20.25" x14ac:dyDescent="0.25">
      <c r="A123" s="88"/>
      <c r="B123" s="15"/>
      <c r="C123" s="20"/>
      <c r="D123" s="20"/>
    </row>
    <row r="124" spans="1:4" ht="20.25" x14ac:dyDescent="0.25">
      <c r="A124" s="88"/>
      <c r="B124" s="15"/>
      <c r="C124" s="20"/>
      <c r="D124" s="20"/>
    </row>
    <row r="125" spans="1:4" ht="20.25" x14ac:dyDescent="0.25">
      <c r="A125" s="88"/>
      <c r="B125" s="15"/>
      <c r="C125" s="20"/>
      <c r="D125" s="20"/>
    </row>
    <row r="126" spans="1:4" ht="20.25" x14ac:dyDescent="0.25">
      <c r="A126" s="88"/>
      <c r="B126" s="15"/>
      <c r="C126" s="20"/>
      <c r="D126" s="20"/>
    </row>
    <row r="127" spans="1:4" ht="20.25" x14ac:dyDescent="0.25">
      <c r="A127" s="88"/>
      <c r="B127" s="15"/>
      <c r="C127" s="20"/>
      <c r="D127" s="20"/>
    </row>
    <row r="128" spans="1:4" ht="20.25" x14ac:dyDescent="0.25">
      <c r="A128" s="88"/>
      <c r="B128" s="15"/>
      <c r="C128" s="20"/>
      <c r="D128" s="20"/>
    </row>
    <row r="129" spans="1:4" ht="20.25" x14ac:dyDescent="0.25">
      <c r="A129" s="88"/>
      <c r="B129" s="15"/>
      <c r="C129" s="20"/>
      <c r="D129" s="20"/>
    </row>
    <row r="130" spans="1:4" ht="20.25" x14ac:dyDescent="0.25">
      <c r="A130" s="88"/>
      <c r="B130" s="15"/>
      <c r="C130" s="20"/>
      <c r="D130" s="20"/>
    </row>
    <row r="131" spans="1:4" ht="20.25" x14ac:dyDescent="0.25">
      <c r="A131" s="88"/>
      <c r="B131" s="15"/>
      <c r="C131" s="20"/>
      <c r="D131" s="20"/>
    </row>
    <row r="132" spans="1:4" ht="20.25" x14ac:dyDescent="0.25">
      <c r="A132" s="88"/>
      <c r="B132" s="15"/>
      <c r="C132" s="20"/>
      <c r="D132" s="20"/>
    </row>
    <row r="133" spans="1:4" ht="20.25" x14ac:dyDescent="0.25">
      <c r="A133" s="88"/>
      <c r="B133" s="15"/>
      <c r="C133" s="20"/>
      <c r="D133" s="20"/>
    </row>
    <row r="134" spans="1:4" ht="20.25" x14ac:dyDescent="0.25">
      <c r="A134" s="88"/>
      <c r="B134" s="15"/>
      <c r="C134" s="20"/>
      <c r="D134" s="20"/>
    </row>
    <row r="135" spans="1:4" ht="20.25" x14ac:dyDescent="0.25">
      <c r="A135" s="88"/>
      <c r="B135" s="15"/>
      <c r="C135" s="20"/>
      <c r="D135" s="20"/>
    </row>
    <row r="136" spans="1:4" ht="20.25" x14ac:dyDescent="0.25">
      <c r="A136" s="88"/>
      <c r="B136" s="15"/>
      <c r="C136" s="20"/>
      <c r="D136" s="20"/>
    </row>
    <row r="137" spans="1:4" ht="20.25" x14ac:dyDescent="0.25">
      <c r="A137" s="88"/>
      <c r="B137" s="15"/>
      <c r="C137" s="20"/>
      <c r="D137" s="20"/>
    </row>
    <row r="138" spans="1:4" ht="20.25" x14ac:dyDescent="0.25">
      <c r="A138" s="88"/>
      <c r="B138" s="15"/>
      <c r="C138" s="20"/>
      <c r="D138" s="20"/>
    </row>
    <row r="139" spans="1:4" ht="20.25" x14ac:dyDescent="0.25">
      <c r="A139" s="88"/>
      <c r="B139" s="15"/>
      <c r="C139" s="20"/>
      <c r="D139" s="20"/>
    </row>
    <row r="140" spans="1:4" ht="20.25" x14ac:dyDescent="0.25">
      <c r="A140" s="88"/>
      <c r="B140" s="15"/>
      <c r="C140" s="20"/>
      <c r="D140" s="20"/>
    </row>
    <row r="141" spans="1:4" ht="20.25" x14ac:dyDescent="0.25">
      <c r="A141" s="88"/>
      <c r="B141" s="15"/>
      <c r="C141" s="20"/>
      <c r="D141" s="20"/>
    </row>
    <row r="142" spans="1:4" ht="20.25" x14ac:dyDescent="0.25">
      <c r="A142" s="88"/>
      <c r="B142" s="15"/>
      <c r="C142" s="20"/>
      <c r="D142" s="20"/>
    </row>
    <row r="143" spans="1:4" ht="20.25" x14ac:dyDescent="0.25">
      <c r="A143" s="88"/>
      <c r="B143" s="15"/>
      <c r="C143" s="20"/>
      <c r="D143" s="20"/>
    </row>
    <row r="144" spans="1:4" ht="20.25" x14ac:dyDescent="0.25">
      <c r="A144" s="88"/>
      <c r="B144" s="15"/>
      <c r="C144" s="20"/>
      <c r="D144" s="20"/>
    </row>
    <row r="145" spans="1:4" ht="20.25" x14ac:dyDescent="0.25">
      <c r="A145" s="88"/>
      <c r="B145" s="15"/>
      <c r="C145" s="20"/>
      <c r="D145" s="20"/>
    </row>
    <row r="146" spans="1:4" ht="20.25" x14ac:dyDescent="0.25">
      <c r="A146" s="88"/>
      <c r="B146" s="15"/>
      <c r="C146" s="20"/>
      <c r="D146" s="20"/>
    </row>
    <row r="147" spans="1:4" ht="20.25" x14ac:dyDescent="0.25">
      <c r="A147" s="88"/>
      <c r="B147" s="15"/>
      <c r="C147" s="20"/>
      <c r="D147" s="20"/>
    </row>
    <row r="148" spans="1:4" ht="20.25" x14ac:dyDescent="0.25">
      <c r="A148" s="88"/>
      <c r="B148" s="15"/>
      <c r="C148" s="20"/>
      <c r="D148" s="20"/>
    </row>
    <row r="149" spans="1:4" ht="20.25" x14ac:dyDescent="0.25">
      <c r="A149" s="88"/>
      <c r="B149" s="15"/>
      <c r="C149" s="20"/>
      <c r="D149" s="20"/>
    </row>
    <row r="150" spans="1:4" ht="20.25" x14ac:dyDescent="0.25">
      <c r="A150" s="88"/>
      <c r="B150" s="15"/>
      <c r="C150" s="20"/>
      <c r="D150" s="20"/>
    </row>
    <row r="151" spans="1:4" ht="20.25" x14ac:dyDescent="0.25">
      <c r="A151" s="88"/>
      <c r="B151" s="15"/>
      <c r="C151" s="20"/>
      <c r="D151" s="20"/>
    </row>
    <row r="152" spans="1:4" ht="20.25" x14ac:dyDescent="0.25">
      <c r="A152" s="88"/>
      <c r="B152" s="15"/>
      <c r="C152" s="20"/>
      <c r="D152" s="20"/>
    </row>
    <row r="153" spans="1:4" ht="20.25" x14ac:dyDescent="0.25">
      <c r="A153" s="88"/>
      <c r="B153" s="15"/>
      <c r="C153" s="20"/>
      <c r="D153" s="20"/>
    </row>
    <row r="154" spans="1:4" ht="20.25" x14ac:dyDescent="0.25">
      <c r="A154" s="88"/>
      <c r="B154" s="15"/>
      <c r="C154" s="20"/>
      <c r="D154" s="20"/>
    </row>
    <row r="155" spans="1:4" ht="20.25" x14ac:dyDescent="0.25">
      <c r="A155" s="88"/>
      <c r="B155" s="15"/>
      <c r="C155" s="20"/>
      <c r="D155" s="20"/>
    </row>
    <row r="156" spans="1:4" ht="20.25" x14ac:dyDescent="0.25">
      <c r="A156" s="88"/>
      <c r="B156" s="15"/>
      <c r="C156" s="20"/>
      <c r="D156" s="20"/>
    </row>
    <row r="157" spans="1:4" ht="20.25" x14ac:dyDescent="0.25">
      <c r="A157" s="88"/>
      <c r="B157" s="15"/>
      <c r="C157" s="20"/>
      <c r="D157" s="20"/>
    </row>
    <row r="158" spans="1:4" ht="20.25" x14ac:dyDescent="0.25">
      <c r="A158" s="88"/>
      <c r="B158" s="15"/>
      <c r="C158" s="20"/>
      <c r="D158" s="20"/>
    </row>
    <row r="159" spans="1:4" ht="20.25" x14ac:dyDescent="0.25">
      <c r="A159" s="88"/>
      <c r="B159" s="15"/>
      <c r="C159" s="20"/>
      <c r="D159" s="20"/>
    </row>
    <row r="160" spans="1:4" ht="20.25" x14ac:dyDescent="0.25">
      <c r="A160" s="88"/>
      <c r="B160" s="15"/>
      <c r="C160" s="20"/>
      <c r="D160" s="20"/>
    </row>
    <row r="161" spans="1:4" ht="20.25" x14ac:dyDescent="0.25">
      <c r="A161" s="88"/>
      <c r="B161" s="15"/>
      <c r="C161" s="20"/>
      <c r="D161" s="20"/>
    </row>
    <row r="162" spans="1:4" ht="20.25" x14ac:dyDescent="0.25">
      <c r="A162" s="88"/>
      <c r="B162" s="15"/>
      <c r="C162" s="20"/>
      <c r="D162" s="20"/>
    </row>
    <row r="163" spans="1:4" ht="20.25" x14ac:dyDescent="0.25">
      <c r="A163" s="88"/>
      <c r="B163" s="15"/>
      <c r="C163" s="20"/>
      <c r="D163" s="20"/>
    </row>
    <row r="164" spans="1:4" ht="20.25" x14ac:dyDescent="0.25">
      <c r="A164" s="88"/>
      <c r="B164" s="15"/>
      <c r="C164" s="20"/>
      <c r="D164" s="20"/>
    </row>
    <row r="165" spans="1:4" ht="20.25" x14ac:dyDescent="0.25">
      <c r="A165" s="88"/>
      <c r="B165" s="15"/>
      <c r="C165" s="20"/>
      <c r="D165" s="20"/>
    </row>
    <row r="166" spans="1:4" ht="20.25" x14ac:dyDescent="0.25">
      <c r="A166" s="88"/>
      <c r="B166" s="15"/>
      <c r="C166" s="20"/>
      <c r="D166" s="20"/>
    </row>
    <row r="167" spans="1:4" ht="20.25" x14ac:dyDescent="0.25">
      <c r="A167" s="88"/>
      <c r="B167" s="15"/>
      <c r="C167" s="20"/>
      <c r="D167" s="20"/>
    </row>
    <row r="168" spans="1:4" ht="20.25" x14ac:dyDescent="0.25">
      <c r="A168" s="88"/>
      <c r="B168" s="15"/>
      <c r="C168" s="20"/>
      <c r="D168" s="20"/>
    </row>
    <row r="169" spans="1:4" ht="20.25" x14ac:dyDescent="0.25">
      <c r="A169" s="88"/>
      <c r="B169" s="15"/>
      <c r="C169" s="20"/>
      <c r="D169" s="20"/>
    </row>
    <row r="170" spans="1:4" ht="20.25" x14ac:dyDescent="0.25">
      <c r="A170" s="88"/>
      <c r="B170" s="15"/>
      <c r="C170" s="20"/>
      <c r="D170" s="20"/>
    </row>
    <row r="171" spans="1:4" ht="20.25" x14ac:dyDescent="0.25">
      <c r="A171" s="88"/>
      <c r="B171" s="15"/>
      <c r="C171" s="20"/>
      <c r="D171" s="20"/>
    </row>
    <row r="172" spans="1:4" ht="20.25" x14ac:dyDescent="0.25">
      <c r="A172" s="88"/>
      <c r="B172" s="15"/>
      <c r="C172" s="20"/>
      <c r="D172" s="20"/>
    </row>
    <row r="173" spans="1:4" ht="20.25" x14ac:dyDescent="0.25">
      <c r="A173" s="88"/>
      <c r="B173" s="15"/>
      <c r="C173" s="20"/>
      <c r="D173" s="20"/>
    </row>
    <row r="174" spans="1:4" ht="20.25" x14ac:dyDescent="0.25">
      <c r="A174" s="88"/>
      <c r="B174" s="15"/>
      <c r="C174" s="20"/>
      <c r="D174" s="20"/>
    </row>
    <row r="175" spans="1:4" ht="20.25" x14ac:dyDescent="0.25">
      <c r="A175" s="88"/>
      <c r="B175" s="15"/>
      <c r="C175" s="20"/>
      <c r="D175" s="20"/>
    </row>
    <row r="176" spans="1:4" ht="20.25" x14ac:dyDescent="0.25">
      <c r="A176" s="88"/>
      <c r="B176" s="15"/>
      <c r="C176" s="20"/>
      <c r="D176" s="20"/>
    </row>
    <row r="177" spans="1:4" ht="20.25" x14ac:dyDescent="0.25">
      <c r="A177" s="88"/>
      <c r="B177" s="15"/>
      <c r="C177" s="20"/>
      <c r="D177" s="20"/>
    </row>
    <row r="178" spans="1:4" ht="20.25" x14ac:dyDescent="0.25">
      <c r="A178" s="88"/>
      <c r="B178" s="15"/>
      <c r="C178" s="20"/>
      <c r="D178" s="20"/>
    </row>
    <row r="179" spans="1:4" ht="20.25" x14ac:dyDescent="0.25">
      <c r="A179" s="88"/>
      <c r="B179" s="15"/>
      <c r="C179" s="20"/>
      <c r="D179" s="20"/>
    </row>
    <row r="180" spans="1:4" ht="20.25" x14ac:dyDescent="0.25">
      <c r="A180" s="88"/>
      <c r="B180" s="15"/>
      <c r="C180" s="20"/>
      <c r="D180" s="20"/>
    </row>
    <row r="181" spans="1:4" ht="20.25" x14ac:dyDescent="0.25">
      <c r="A181" s="88"/>
      <c r="B181" s="15"/>
      <c r="C181" s="20"/>
      <c r="D181" s="20"/>
    </row>
    <row r="182" spans="1:4" ht="20.25" x14ac:dyDescent="0.25">
      <c r="A182" s="88"/>
      <c r="B182" s="15"/>
      <c r="C182" s="20"/>
      <c r="D182" s="20"/>
    </row>
    <row r="183" spans="1:4" ht="20.25" x14ac:dyDescent="0.25">
      <c r="A183" s="88"/>
      <c r="B183" s="15"/>
      <c r="C183" s="20"/>
      <c r="D183" s="20"/>
    </row>
    <row r="184" spans="1:4" ht="20.25" x14ac:dyDescent="0.25">
      <c r="A184" s="88"/>
      <c r="B184" s="15"/>
      <c r="C184" s="20"/>
      <c r="D184" s="20"/>
    </row>
    <row r="185" spans="1:4" ht="20.25" x14ac:dyDescent="0.25">
      <c r="A185" s="88"/>
      <c r="B185" s="15"/>
      <c r="C185" s="20"/>
      <c r="D185" s="20"/>
    </row>
    <row r="186" spans="1:4" ht="20.25" x14ac:dyDescent="0.25">
      <c r="A186" s="88"/>
      <c r="B186" s="15"/>
      <c r="C186" s="20"/>
      <c r="D186" s="20"/>
    </row>
    <row r="187" spans="1:4" ht="20.25" x14ac:dyDescent="0.25">
      <c r="A187" s="88"/>
      <c r="B187" s="15"/>
      <c r="C187" s="20"/>
      <c r="D187" s="20"/>
    </row>
    <row r="188" spans="1:4" ht="20.25" x14ac:dyDescent="0.25">
      <c r="A188" s="88"/>
      <c r="B188" s="15"/>
      <c r="C188" s="20"/>
      <c r="D188" s="20"/>
    </row>
    <row r="189" spans="1:4" ht="20.25" x14ac:dyDescent="0.25">
      <c r="A189" s="88"/>
      <c r="B189" s="15"/>
      <c r="C189" s="20"/>
      <c r="D189" s="20"/>
    </row>
    <row r="190" spans="1:4" ht="20.25" x14ac:dyDescent="0.25">
      <c r="A190" s="88"/>
      <c r="B190" s="15"/>
      <c r="C190" s="20"/>
      <c r="D190" s="20"/>
    </row>
    <row r="191" spans="1:4" ht="20.25" x14ac:dyDescent="0.25">
      <c r="A191" s="88"/>
      <c r="B191" s="15"/>
      <c r="C191" s="20"/>
      <c r="D191" s="20"/>
    </row>
    <row r="192" spans="1:4" ht="20.25" x14ac:dyDescent="0.25">
      <c r="A192" s="88"/>
      <c r="B192" s="15"/>
      <c r="C192" s="20"/>
      <c r="D192" s="20"/>
    </row>
    <row r="193" spans="1:4" ht="20.25" x14ac:dyDescent="0.25">
      <c r="A193" s="88"/>
      <c r="B193" s="15"/>
      <c r="C193" s="20"/>
      <c r="D193" s="20"/>
    </row>
    <row r="194" spans="1:4" ht="20.25" x14ac:dyDescent="0.25">
      <c r="A194" s="88"/>
      <c r="B194" s="15"/>
      <c r="C194" s="20"/>
      <c r="D194" s="20"/>
    </row>
    <row r="195" spans="1:4" ht="20.25" x14ac:dyDescent="0.25">
      <c r="A195" s="88"/>
      <c r="B195" s="15"/>
      <c r="C195" s="20"/>
      <c r="D195" s="20"/>
    </row>
    <row r="196" spans="1:4" ht="20.25" x14ac:dyDescent="0.25">
      <c r="A196" s="88"/>
      <c r="B196" s="15"/>
      <c r="C196" s="20"/>
      <c r="D196" s="20"/>
    </row>
    <row r="197" spans="1:4" ht="20.25" x14ac:dyDescent="0.25">
      <c r="A197" s="88"/>
      <c r="B197" s="15"/>
      <c r="C197" s="20"/>
      <c r="D197" s="20"/>
    </row>
    <row r="198" spans="1:4" ht="20.25" x14ac:dyDescent="0.25">
      <c r="A198" s="88"/>
      <c r="B198" s="15"/>
      <c r="C198" s="20"/>
      <c r="D198" s="20"/>
    </row>
    <row r="199" spans="1:4" ht="20.25" x14ac:dyDescent="0.25">
      <c r="A199" s="88"/>
      <c r="B199" s="15"/>
      <c r="C199" s="20"/>
      <c r="D199" s="20"/>
    </row>
    <row r="200" spans="1:4" ht="20.25" x14ac:dyDescent="0.25">
      <c r="A200" s="88"/>
      <c r="B200" s="15"/>
      <c r="C200" s="20"/>
      <c r="D200" s="20"/>
    </row>
    <row r="201" spans="1:4" ht="20.25" x14ac:dyDescent="0.25">
      <c r="A201" s="88"/>
      <c r="B201" s="15"/>
      <c r="C201" s="20"/>
      <c r="D201" s="20"/>
    </row>
    <row r="202" spans="1:4" ht="20.25" x14ac:dyDescent="0.25">
      <c r="A202" s="88"/>
      <c r="B202" s="15"/>
      <c r="C202" s="20"/>
      <c r="D202" s="20"/>
    </row>
    <row r="203" spans="1:4" ht="20.25" x14ac:dyDescent="0.25">
      <c r="A203" s="88"/>
      <c r="B203" s="15"/>
      <c r="C203" s="20"/>
      <c r="D203" s="20"/>
    </row>
    <row r="204" spans="1:4" ht="20.25" x14ac:dyDescent="0.25">
      <c r="A204" s="88"/>
      <c r="B204" s="15"/>
      <c r="C204" s="20"/>
      <c r="D204" s="20"/>
    </row>
    <row r="205" spans="1:4" ht="20.25" x14ac:dyDescent="0.25">
      <c r="A205" s="88"/>
      <c r="B205" s="15"/>
      <c r="C205" s="20"/>
      <c r="D205" s="20"/>
    </row>
    <row r="206" spans="1:4" ht="20.25" x14ac:dyDescent="0.25">
      <c r="A206" s="88"/>
      <c r="B206" s="15"/>
      <c r="C206" s="20"/>
      <c r="D206" s="20"/>
    </row>
    <row r="207" spans="1:4" ht="20.25" x14ac:dyDescent="0.25">
      <c r="A207" s="88"/>
      <c r="B207" s="15"/>
      <c r="C207" s="20"/>
      <c r="D207" s="20"/>
    </row>
    <row r="208" spans="1:4" x14ac:dyDescent="0.25">
      <c r="A208" s="70"/>
      <c r="B208" s="15"/>
      <c r="C208" s="15"/>
      <c r="D208" s="15"/>
    </row>
    <row r="209" spans="1:8" ht="20.25" x14ac:dyDescent="0.25">
      <c r="A209" s="70"/>
      <c r="B209" s="16" t="s">
        <v>84</v>
      </c>
      <c r="C209" s="16" t="s">
        <v>137</v>
      </c>
      <c r="D209" s="19" t="s">
        <v>84</v>
      </c>
      <c r="E209" s="19" t="s">
        <v>137</v>
      </c>
    </row>
    <row r="210" spans="1:8" ht="21" x14ac:dyDescent="0.35">
      <c r="A210" s="70"/>
      <c r="B210" s="17" t="s">
        <v>86</v>
      </c>
      <c r="C210" s="17" t="s">
        <v>54</v>
      </c>
      <c r="D210" t="s">
        <v>86</v>
      </c>
      <c r="F210" t="str">
        <f>IF(NOT(ISBLANK(D210)),D210,IF(NOT(ISBLANK(E210)),"     "&amp;E210,FALSE))</f>
        <v>Afectación Económica o presupuestal</v>
      </c>
      <c r="G210" t="s">
        <v>86</v>
      </c>
      <c r="H210" t="str">
        <f ca="1">IF(NOT(ISERROR(MATCH(G210,_xlfn.ANCHORARRAY(B221),0))),F223&amp;"Por favor no seleccionar los criterios de impacto",G210)</f>
        <v>Afectación Económica o presupuestal</v>
      </c>
    </row>
    <row r="211" spans="1:8" ht="21" x14ac:dyDescent="0.35">
      <c r="A211" s="70"/>
      <c r="B211" s="17" t="s">
        <v>86</v>
      </c>
      <c r="C211" s="17" t="s">
        <v>89</v>
      </c>
      <c r="E211" t="s">
        <v>54</v>
      </c>
      <c r="F211" t="str">
        <f t="shared" ref="F211:F221" si="0">IF(NOT(ISBLANK(D211)),D211,IF(NOT(ISBLANK(E211)),"     "&amp;E211,FALSE))</f>
        <v xml:space="preserve">     Afectación menor a 10 SMLMV .</v>
      </c>
    </row>
    <row r="212" spans="1:8" ht="21" x14ac:dyDescent="0.35">
      <c r="A212" s="70"/>
      <c r="B212" s="17" t="s">
        <v>86</v>
      </c>
      <c r="C212" s="17" t="s">
        <v>90</v>
      </c>
      <c r="E212" t="s">
        <v>89</v>
      </c>
      <c r="F212" t="str">
        <f t="shared" si="0"/>
        <v xml:space="preserve">     Entre 10 y 50 SMLMV </v>
      </c>
    </row>
    <row r="213" spans="1:8" ht="21" x14ac:dyDescent="0.35">
      <c r="A213" s="70"/>
      <c r="B213" s="17" t="s">
        <v>86</v>
      </c>
      <c r="C213" s="17" t="s">
        <v>91</v>
      </c>
      <c r="E213" t="s">
        <v>90</v>
      </c>
      <c r="F213" t="str">
        <f t="shared" si="0"/>
        <v xml:space="preserve">     Entre 50 y 100 SMLMV </v>
      </c>
    </row>
    <row r="214" spans="1:8" ht="21" x14ac:dyDescent="0.35">
      <c r="A214" s="70"/>
      <c r="B214" s="17" t="s">
        <v>86</v>
      </c>
      <c r="C214" s="17" t="s">
        <v>92</v>
      </c>
      <c r="E214" t="s">
        <v>91</v>
      </c>
      <c r="F214" t="str">
        <f t="shared" si="0"/>
        <v xml:space="preserve">     Entre 100 y 500 SMLMV </v>
      </c>
    </row>
    <row r="215" spans="1:8" ht="21" x14ac:dyDescent="0.35">
      <c r="A215" s="70"/>
      <c r="B215" s="17" t="s">
        <v>53</v>
      </c>
      <c r="C215" s="17" t="s">
        <v>93</v>
      </c>
      <c r="E215" t="s">
        <v>92</v>
      </c>
      <c r="F215" t="str">
        <f t="shared" si="0"/>
        <v xml:space="preserve">     Mayor a 500 SMLMV </v>
      </c>
    </row>
    <row r="216" spans="1:8" ht="21" x14ac:dyDescent="0.35">
      <c r="A216" s="70"/>
      <c r="B216" s="17" t="s">
        <v>53</v>
      </c>
      <c r="C216" s="17" t="s">
        <v>94</v>
      </c>
      <c r="D216" t="s">
        <v>53</v>
      </c>
      <c r="F216" t="str">
        <f t="shared" si="0"/>
        <v>Pérdida Reputacional</v>
      </c>
    </row>
    <row r="217" spans="1:8" ht="21" x14ac:dyDescent="0.35">
      <c r="A217" s="70"/>
      <c r="B217" s="17" t="s">
        <v>53</v>
      </c>
      <c r="C217" s="17" t="s">
        <v>96</v>
      </c>
      <c r="E217" t="s">
        <v>93</v>
      </c>
      <c r="F217" t="str">
        <f t="shared" si="0"/>
        <v xml:space="preserve">     El riesgo afecta la imagen de alguna área de la organización</v>
      </c>
    </row>
    <row r="218" spans="1:8" ht="21" x14ac:dyDescent="0.35">
      <c r="A218" s="70"/>
      <c r="B218" s="17" t="s">
        <v>53</v>
      </c>
      <c r="C218" s="17" t="s">
        <v>95</v>
      </c>
      <c r="E218" t="s">
        <v>94</v>
      </c>
      <c r="F218" t="str">
        <f t="shared" si="0"/>
        <v xml:space="preserve">     El riesgo afecta la imagen de la entidad internamente, de conocimiento general, nivel interno, de junta dircetiva y accionistas y/o de provedores</v>
      </c>
    </row>
    <row r="219" spans="1:8" ht="21" x14ac:dyDescent="0.35">
      <c r="A219" s="70"/>
      <c r="B219" s="17" t="s">
        <v>53</v>
      </c>
      <c r="C219" s="17" t="s">
        <v>114</v>
      </c>
      <c r="E219" t="s">
        <v>96</v>
      </c>
      <c r="F219" t="str">
        <f t="shared" si="0"/>
        <v xml:space="preserve">     El riesgo afecta la imagen de la entidad con algunos usuarios de relevancia frente al logro de los objetivos</v>
      </c>
    </row>
    <row r="220" spans="1:8" x14ac:dyDescent="0.25">
      <c r="A220" s="70"/>
      <c r="B220" s="18"/>
      <c r="C220" s="18"/>
      <c r="E220" t="s">
        <v>95</v>
      </c>
      <c r="F220" t="str">
        <f t="shared" si="0"/>
        <v xml:space="preserve">     El riesgo afecta la imagen de de la entidad con efecto publicitario sostenido a nivel de sector administrativo, nivel departamental o municipal</v>
      </c>
    </row>
    <row r="221" spans="1:8" x14ac:dyDescent="0.25">
      <c r="A221" s="70"/>
      <c r="B221" s="18" t="e" cm="1">
        <f t="array" aca="1" ref="B221:B223" ca="1">_xlfn.UNIQUE(Tabla1[[#All],[Criterios]])</f>
        <v>#NAME?</v>
      </c>
      <c r="C221" s="18"/>
      <c r="E221" t="s">
        <v>114</v>
      </c>
      <c r="F221" t="str">
        <f t="shared" si="0"/>
        <v xml:space="preserve">     El riesgo afecta la imagen de la entidad a nivel nacional, con efecto publicitarios sostenible a nivel país</v>
      </c>
    </row>
    <row r="222" spans="1:8" x14ac:dyDescent="0.25">
      <c r="A222" s="70"/>
      <c r="B222" s="18" t="e">
        <f ca="1"/>
        <v>#NAME?</v>
      </c>
      <c r="C222" s="18"/>
    </row>
    <row r="223" spans="1:8" x14ac:dyDescent="0.25">
      <c r="B223" s="18" t="e">
        <f ca="1"/>
        <v>#NAME?</v>
      </c>
      <c r="C223" s="18"/>
      <c r="F223" s="21" t="s">
        <v>139</v>
      </c>
    </row>
    <row r="224" spans="1:8" x14ac:dyDescent="0.25">
      <c r="B224" s="14"/>
      <c r="C224" s="14"/>
      <c r="F224" s="21" t="s">
        <v>140</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F16"/>
  <sheetViews>
    <sheetView topLeftCell="A13" workbookViewId="0">
      <selection activeCell="A5" sqref="A5"/>
    </sheetView>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70" t="s">
        <v>74</v>
      </c>
      <c r="C1" s="371"/>
      <c r="D1" s="371"/>
      <c r="E1" s="371"/>
      <c r="F1" s="372"/>
    </row>
    <row r="2" spans="2:6" ht="16.5" thickBot="1" x14ac:dyDescent="0.3">
      <c r="B2" s="76"/>
      <c r="C2" s="76"/>
      <c r="D2" s="76"/>
      <c r="E2" s="76"/>
      <c r="F2" s="76"/>
    </row>
    <row r="3" spans="2:6" ht="16.5" thickBot="1" x14ac:dyDescent="0.25">
      <c r="B3" s="374" t="s">
        <v>60</v>
      </c>
      <c r="C3" s="375"/>
      <c r="D3" s="375"/>
      <c r="E3" s="137" t="s">
        <v>61</v>
      </c>
      <c r="F3" s="138" t="s">
        <v>62</v>
      </c>
    </row>
    <row r="4" spans="2:6" ht="31.5" x14ac:dyDescent="0.2">
      <c r="B4" s="376" t="s">
        <v>63</v>
      </c>
      <c r="C4" s="378" t="s">
        <v>12</v>
      </c>
      <c r="D4" s="77" t="s">
        <v>13</v>
      </c>
      <c r="E4" s="78" t="s">
        <v>64</v>
      </c>
      <c r="F4" s="79">
        <v>0.25</v>
      </c>
    </row>
    <row r="5" spans="2:6" ht="47.25" x14ac:dyDescent="0.2">
      <c r="B5" s="377"/>
      <c r="C5" s="379"/>
      <c r="D5" s="80" t="s">
        <v>14</v>
      </c>
      <c r="E5" s="81" t="s">
        <v>65</v>
      </c>
      <c r="F5" s="82">
        <v>0.15</v>
      </c>
    </row>
    <row r="6" spans="2:6" ht="47.25" x14ac:dyDescent="0.2">
      <c r="B6" s="377"/>
      <c r="C6" s="379"/>
      <c r="D6" s="80" t="s">
        <v>15</v>
      </c>
      <c r="E6" s="81" t="s">
        <v>66</v>
      </c>
      <c r="F6" s="82">
        <v>0.1</v>
      </c>
    </row>
    <row r="7" spans="2:6" ht="63" x14ac:dyDescent="0.2">
      <c r="B7" s="377"/>
      <c r="C7" s="379" t="s">
        <v>16</v>
      </c>
      <c r="D7" s="80" t="s">
        <v>9</v>
      </c>
      <c r="E7" s="81" t="s">
        <v>67</v>
      </c>
      <c r="F7" s="82">
        <v>0.25</v>
      </c>
    </row>
    <row r="8" spans="2:6" ht="31.5" x14ac:dyDescent="0.2">
      <c r="B8" s="377"/>
      <c r="C8" s="379"/>
      <c r="D8" s="80" t="s">
        <v>8</v>
      </c>
      <c r="E8" s="81" t="s">
        <v>68</v>
      </c>
      <c r="F8" s="82">
        <v>0.15</v>
      </c>
    </row>
    <row r="9" spans="2:6" ht="47.25" x14ac:dyDescent="0.2">
      <c r="B9" s="377" t="s">
        <v>154</v>
      </c>
      <c r="C9" s="379" t="s">
        <v>17</v>
      </c>
      <c r="D9" s="80" t="s">
        <v>18</v>
      </c>
      <c r="E9" s="81" t="s">
        <v>69</v>
      </c>
      <c r="F9" s="83" t="s">
        <v>70</v>
      </c>
    </row>
    <row r="10" spans="2:6" ht="63" x14ac:dyDescent="0.2">
      <c r="B10" s="377"/>
      <c r="C10" s="379"/>
      <c r="D10" s="80" t="s">
        <v>19</v>
      </c>
      <c r="E10" s="81" t="s">
        <v>71</v>
      </c>
      <c r="F10" s="83" t="s">
        <v>70</v>
      </c>
    </row>
    <row r="11" spans="2:6" ht="47.25" x14ac:dyDescent="0.2">
      <c r="B11" s="377"/>
      <c r="C11" s="379" t="s">
        <v>20</v>
      </c>
      <c r="D11" s="80" t="s">
        <v>21</v>
      </c>
      <c r="E11" s="81" t="s">
        <v>72</v>
      </c>
      <c r="F11" s="83" t="s">
        <v>70</v>
      </c>
    </row>
    <row r="12" spans="2:6" ht="47.25" x14ac:dyDescent="0.2">
      <c r="B12" s="377"/>
      <c r="C12" s="379"/>
      <c r="D12" s="80" t="s">
        <v>22</v>
      </c>
      <c r="E12" s="81" t="s">
        <v>73</v>
      </c>
      <c r="F12" s="83" t="s">
        <v>70</v>
      </c>
    </row>
    <row r="13" spans="2:6" ht="31.5" x14ac:dyDescent="0.2">
      <c r="B13" s="377"/>
      <c r="C13" s="379" t="s">
        <v>23</v>
      </c>
      <c r="D13" s="80" t="s">
        <v>115</v>
      </c>
      <c r="E13" s="81" t="s">
        <v>118</v>
      </c>
      <c r="F13" s="83" t="s">
        <v>70</v>
      </c>
    </row>
    <row r="14" spans="2:6" ht="32.25" thickBot="1" x14ac:dyDescent="0.25">
      <c r="B14" s="380"/>
      <c r="C14" s="381"/>
      <c r="D14" s="84" t="s">
        <v>116</v>
      </c>
      <c r="E14" s="85" t="s">
        <v>117</v>
      </c>
      <c r="F14" s="86" t="s">
        <v>70</v>
      </c>
    </row>
    <row r="15" spans="2:6" ht="49.5" customHeight="1" x14ac:dyDescent="0.2">
      <c r="B15" s="373" t="s">
        <v>151</v>
      </c>
      <c r="C15" s="373"/>
      <c r="D15" s="373"/>
      <c r="E15" s="373"/>
      <c r="F15" s="373"/>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30</v>
      </c>
      <c r="E2" t="s">
        <v>127</v>
      </c>
    </row>
    <row r="3" spans="2:5" x14ac:dyDescent="0.25">
      <c r="B3" t="s">
        <v>31</v>
      </c>
      <c r="E3" t="s">
        <v>126</v>
      </c>
    </row>
    <row r="4" spans="2:5" x14ac:dyDescent="0.25">
      <c r="B4" t="s">
        <v>131</v>
      </c>
      <c r="E4" t="s">
        <v>128</v>
      </c>
    </row>
    <row r="5" spans="2:5" x14ac:dyDescent="0.25">
      <c r="B5" t="s">
        <v>130</v>
      </c>
    </row>
    <row r="8" spans="2:5" x14ac:dyDescent="0.25">
      <c r="B8" t="s">
        <v>82</v>
      </c>
    </row>
    <row r="9" spans="2:5" x14ac:dyDescent="0.25">
      <c r="B9" t="s">
        <v>39</v>
      </c>
    </row>
    <row r="10" spans="2:5" x14ac:dyDescent="0.25">
      <c r="B10" t="s">
        <v>40</v>
      </c>
    </row>
    <row r="13" spans="2:5" x14ac:dyDescent="0.25">
      <c r="B13" t="s">
        <v>125</v>
      </c>
    </row>
    <row r="14" spans="2:5" x14ac:dyDescent="0.25">
      <c r="B14" t="s">
        <v>119</v>
      </c>
    </row>
    <row r="15" spans="2:5" x14ac:dyDescent="0.25">
      <c r="B15" t="s">
        <v>122</v>
      </c>
    </row>
    <row r="16" spans="2:5" x14ac:dyDescent="0.25">
      <c r="B16" t="s">
        <v>120</v>
      </c>
    </row>
    <row r="17" spans="2:2" x14ac:dyDescent="0.25">
      <c r="B17" t="s">
        <v>121</v>
      </c>
    </row>
    <row r="18" spans="2:2" x14ac:dyDescent="0.25">
      <c r="B18" t="s">
        <v>123</v>
      </c>
    </row>
    <row r="19" spans="2:2" x14ac:dyDescent="0.25">
      <c r="B19" t="s">
        <v>124</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39</v>
      </c>
    </row>
    <row r="21" spans="1:1" x14ac:dyDescent="0.2">
      <c r="A21" s="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LENOVO</cp:lastModifiedBy>
  <cp:lastPrinted>2020-05-13T01:12:22Z</cp:lastPrinted>
  <dcterms:created xsi:type="dcterms:W3CDTF">2020-03-24T23:12:47Z</dcterms:created>
  <dcterms:modified xsi:type="dcterms:W3CDTF">2022-02-07T15:12:46Z</dcterms:modified>
</cp:coreProperties>
</file>